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tables/table1.xml" ContentType="application/vnd.openxmlformats-officedocument.spreadsheetml.table+xml"/>
  <Override PartName="/xl/drawings/drawing6.xml" ContentType="application/vnd.openxmlformats-officedocument.drawing+xml"/>
  <Override PartName="/xl/tables/table2.xml" ContentType="application/vnd.openxmlformats-officedocument.spreadsheetml.table+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filterPrivacy="1" defaultThemeVersion="124226"/>
  <xr:revisionPtr revIDLastSave="0" documentId="13_ncr:1_{045ED65A-12DA-42D4-838A-4C44CB52298B}" xr6:coauthVersionLast="47" xr6:coauthVersionMax="47" xr10:uidLastSave="{00000000-0000-0000-0000-000000000000}"/>
  <bookViews>
    <workbookView xWindow="-120" yWindow="-120" windowWidth="29040" windowHeight="15840" tabRatio="938" xr2:uid="{00000000-000D-0000-FFFF-FFFF00000000}"/>
  </bookViews>
  <sheets>
    <sheet name="cover" sheetId="28" r:id="rId1"/>
    <sheet name="حفر و احلال" sheetId="18" r:id="rId2"/>
    <sheet name="خرسانة عادية" sheetId="19" r:id="rId3"/>
    <sheet name="خرسانة مسلحة" sheetId="7" r:id="rId4"/>
    <sheet name="البياض" sheetId="16" r:id="rId5"/>
    <sheet name="المبانى" sheetId="15" r:id="rId6"/>
    <sheet name="عزل" sheetId="20" r:id="rId7"/>
    <sheet name="الدهانات" sheetId="14" r:id="rId8"/>
    <sheet name="السيراميك" sheetId="11" r:id="rId9"/>
    <sheet name="الرخام" sheetId="12" r:id="rId10"/>
    <sheet name="القرميد" sheetId="13" r:id="rId11"/>
    <sheet name="النجارة " sheetId="8" r:id="rId12"/>
    <sheet name="الكهرباء" sheetId="29" r:id="rId13"/>
    <sheet name="الصحى" sheetId="5" r:id="rId14"/>
    <sheet name="اسعار الخامات" sheetId="9" r:id="rId15"/>
    <sheet name="اسعار المصنعيات" sheetId="10" r:id="rId16"/>
    <sheet name="التشطيبات" sheetId="2" state="hidden" r:id="rId17"/>
    <sheet name="المطبق" sheetId="6" r:id="rId18"/>
    <sheet name="Sheet3" sheetId="25" state="hidden" r:id="rId19"/>
    <sheet name="اليوميات" sheetId="26" r:id="rId20"/>
    <sheet name="التكلفة" sheetId="17" r:id="rId21"/>
    <sheet name="اسعار الخرسانات" sheetId="27" r:id="rId22"/>
    <sheet name="شرح تكلفة الخرسانة " sheetId="22" r:id="rId23"/>
    <sheet name="شرح العزل" sheetId="23" r:id="rId24"/>
    <sheet name="cost estiment" sheetId="30" r:id="rId25"/>
    <sheet name="معدلات الاداء القياسية" sheetId="31" r:id="rId26"/>
    <sheet name="Sheet1" sheetId="32" r:id="rId27"/>
  </sheets>
  <definedNames>
    <definedName name="_xlnm._FilterDatabase" localSheetId="25" hidden="1">'معدلات الاداء القياسية'!$A$3:$H$101</definedName>
    <definedName name="_xlnm.Print_Area" localSheetId="14">'اسعار الخامات'!$B$2:$E$85</definedName>
    <definedName name="_xlnm.Print_Area" localSheetId="4">البياض!$B$28:$K$56</definedName>
    <definedName name="_xlnm.Print_Area" localSheetId="16">التشطيبات!$B$12:$N$28</definedName>
    <definedName name="_xlnm.Print_Area" localSheetId="7">الدهانات!$B$19:$J$29</definedName>
    <definedName name="_xlnm.Print_Area" localSheetId="9">الرخام!$B$8:$K$29</definedName>
    <definedName name="_xlnm.Print_Area" localSheetId="8">السيراميك!$B$47:$J$57</definedName>
    <definedName name="_xlnm.Print_Area" localSheetId="13">الصحى!$B$1:$J$152</definedName>
    <definedName name="_xlnm.Print_Area" localSheetId="10">القرميد!$B$4:$J$13</definedName>
    <definedName name="_xlnm.Print_Area" localSheetId="12">الكهرباء!$B$1:$J$2</definedName>
    <definedName name="_xlnm.Print_Area" localSheetId="5">المبانى!$B$4:$K$49</definedName>
    <definedName name="_xlnm.Print_Area" localSheetId="11">'النجارة '!$B$1:$J$105</definedName>
    <definedName name="_xlnm.Print_Area" localSheetId="1">'حفر و احلال'!$B$2:$K$36</definedName>
    <definedName name="_xlnm.Print_Area" localSheetId="2">'خرسانة عادية'!$B$46:$K$53</definedName>
    <definedName name="_xlnm.Print_Area" localSheetId="3">'خرسانة مسلحة'!$B$67:$J$82</definedName>
    <definedName name="_xlnm.Print_Area" localSheetId="6">عزل!$B$4:$J$9</definedName>
    <definedName name="_xlnm.Print_Titles" localSheetId="15">'اسعار المصنعيات'!$3:$3</definedName>
    <definedName name="_xlnm.Print_Titles" localSheetId="4">البياض!$6:$6</definedName>
    <definedName name="_xlnm.Print_Titles" localSheetId="16">التشطيبات!$3:$3</definedName>
    <definedName name="_xlnm.Print_Titles" localSheetId="7">الدهانات!$6:$6</definedName>
    <definedName name="_xlnm.Print_Titles" localSheetId="9">الرخام!$7:$7</definedName>
    <definedName name="_xlnm.Print_Titles" localSheetId="8">السيراميك!$3:$3</definedName>
    <definedName name="_xlnm.Print_Titles" localSheetId="13">الصحى!$1:$3</definedName>
    <definedName name="_xlnm.Print_Titles" localSheetId="10">القرميد!$6:$6</definedName>
    <definedName name="_xlnm.Print_Titles" localSheetId="12">الكهرباء!$1:$2</definedName>
    <definedName name="_xlnm.Print_Titles" localSheetId="5">المبانى!$6:$6</definedName>
    <definedName name="_xlnm.Print_Titles" localSheetId="11">'النجارة '!$2:$5</definedName>
    <definedName name="_xlnm.Print_Titles" localSheetId="1">'حفر و احلال'!$1:$3</definedName>
    <definedName name="_xlnm.Print_Titles" localSheetId="2">'خرسانة عادية'!$1:$1</definedName>
    <definedName name="_xlnm.Print_Titles" localSheetId="3">'خرسانة مسلحة'!$2:$4</definedName>
    <definedName name="_xlnm.Print_Titles" localSheetId="6">عزل!$4:$4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23" i="7" l="1"/>
  <c r="G65" i="5"/>
  <c r="J65" i="5"/>
  <c r="G66" i="5"/>
  <c r="J66" i="5"/>
  <c r="G67" i="5"/>
  <c r="J67" i="5"/>
  <c r="G68" i="5"/>
  <c r="J68" i="5"/>
  <c r="G69" i="5"/>
  <c r="J69" i="5"/>
  <c r="J70" i="5"/>
  <c r="G71" i="5"/>
  <c r="J71" i="5"/>
  <c r="J72" i="5"/>
  <c r="J11" i="15"/>
  <c r="K18" i="15"/>
  <c r="K19" i="15"/>
  <c r="K40" i="15"/>
  <c r="K41" i="15"/>
  <c r="K29" i="15"/>
  <c r="K30" i="15"/>
  <c r="K7" i="15"/>
  <c r="K8" i="15"/>
  <c r="H30" i="15"/>
  <c r="H41" i="15"/>
  <c r="J75" i="7"/>
  <c r="J76" i="7"/>
  <c r="J77" i="7"/>
  <c r="J78" i="7"/>
  <c r="J80" i="7"/>
  <c r="J81" i="7"/>
  <c r="J14" i="7"/>
  <c r="J16" i="7"/>
  <c r="J18" i="7"/>
  <c r="J19" i="7"/>
  <c r="D5" i="10"/>
  <c r="G19" i="19"/>
  <c r="J19" i="19"/>
  <c r="J20" i="19"/>
  <c r="G21" i="19"/>
  <c r="J21" i="19"/>
  <c r="G15" i="19"/>
  <c r="J15" i="19"/>
  <c r="G7" i="19"/>
  <c r="J7" i="19"/>
  <c r="G8" i="19"/>
  <c r="J8" i="19"/>
  <c r="J9" i="19"/>
  <c r="G10" i="19"/>
  <c r="J10" i="19"/>
  <c r="J11" i="19"/>
  <c r="G64" i="12"/>
  <c r="G78" i="16"/>
  <c r="H70" i="16"/>
  <c r="G70" i="16"/>
  <c r="J70" i="16"/>
  <c r="H71" i="16"/>
  <c r="G71" i="16"/>
  <c r="J71" i="16"/>
  <c r="G72" i="16"/>
  <c r="J72" i="16"/>
  <c r="J73" i="16"/>
  <c r="K73" i="16"/>
  <c r="G64" i="16"/>
  <c r="J64" i="16"/>
  <c r="H65" i="16"/>
  <c r="G65" i="16"/>
  <c r="J65" i="16"/>
  <c r="G66" i="16"/>
  <c r="J66" i="16"/>
  <c r="J67" i="16"/>
  <c r="K67" i="16"/>
  <c r="H59" i="16"/>
  <c r="G59" i="16"/>
  <c r="J59" i="16"/>
  <c r="G60" i="16"/>
  <c r="J60" i="16"/>
  <c r="J61" i="16"/>
  <c r="K61" i="16"/>
  <c r="H33" i="16"/>
  <c r="G33" i="16"/>
  <c r="J33" i="16"/>
  <c r="J36" i="16"/>
  <c r="G37" i="16"/>
  <c r="J37" i="16"/>
  <c r="G38" i="16"/>
  <c r="J38" i="16"/>
  <c r="G19" i="16"/>
  <c r="J19" i="16"/>
  <c r="G21" i="16"/>
  <c r="J21" i="16"/>
  <c r="J22" i="16"/>
  <c r="J23" i="16"/>
  <c r="J24" i="16"/>
  <c r="G25" i="16"/>
  <c r="J25" i="16"/>
  <c r="H8" i="16"/>
  <c r="G8" i="16"/>
  <c r="J8" i="16"/>
  <c r="G10" i="16"/>
  <c r="J10" i="16"/>
  <c r="G11" i="16"/>
  <c r="J11" i="16"/>
  <c r="J12" i="16"/>
  <c r="J13" i="16"/>
  <c r="J14" i="16"/>
  <c r="J47" i="15"/>
  <c r="J45" i="15"/>
  <c r="G41" i="15"/>
  <c r="J36" i="15"/>
  <c r="J34" i="15"/>
  <c r="G30" i="15"/>
  <c r="G7" i="15"/>
  <c r="J48" i="20"/>
  <c r="J49" i="20"/>
  <c r="J50" i="20"/>
  <c r="J51" i="20"/>
  <c r="J52" i="20"/>
  <c r="J53" i="20"/>
  <c r="J54" i="20"/>
  <c r="J55" i="20"/>
  <c r="K55" i="20"/>
  <c r="J40" i="20"/>
  <c r="J41" i="20"/>
  <c r="J42" i="20"/>
  <c r="J43" i="20"/>
  <c r="J44" i="20"/>
  <c r="K44" i="20"/>
  <c r="J30" i="20"/>
  <c r="J31" i="20"/>
  <c r="J32" i="20"/>
  <c r="J33" i="20"/>
  <c r="J34" i="20"/>
  <c r="J35" i="20"/>
  <c r="J36" i="20"/>
  <c r="J37" i="20"/>
  <c r="K37" i="20"/>
  <c r="J24" i="20"/>
  <c r="J25" i="20"/>
  <c r="J26" i="20"/>
  <c r="J27" i="20"/>
  <c r="K27" i="20"/>
  <c r="J18" i="20"/>
  <c r="J19" i="20"/>
  <c r="J20" i="20"/>
  <c r="K20" i="20"/>
  <c r="J12" i="20"/>
  <c r="J13" i="20"/>
  <c r="J14" i="20"/>
  <c r="J15" i="20"/>
  <c r="K15" i="20"/>
  <c r="J6" i="20"/>
  <c r="J7" i="20"/>
  <c r="J8" i="20"/>
  <c r="J9" i="20"/>
  <c r="K9" i="20"/>
  <c r="J19" i="14"/>
  <c r="G20" i="14"/>
  <c r="J20" i="14"/>
  <c r="G21" i="14"/>
  <c r="J21" i="14"/>
  <c r="J22" i="14"/>
  <c r="H23" i="14"/>
  <c r="G10" i="14"/>
  <c r="G23" i="14"/>
  <c r="J23" i="14"/>
  <c r="G11" i="14"/>
  <c r="G24" i="14"/>
  <c r="J24" i="14"/>
  <c r="G12" i="14"/>
  <c r="G25" i="14"/>
  <c r="J25" i="14"/>
  <c r="G26" i="14"/>
  <c r="J26" i="14"/>
  <c r="J29" i="14"/>
  <c r="K29" i="14"/>
  <c r="J7" i="14"/>
  <c r="G8" i="14"/>
  <c r="J8" i="14"/>
  <c r="G9" i="14"/>
  <c r="J9" i="14"/>
  <c r="H10" i="14"/>
  <c r="J10" i="14"/>
  <c r="H11" i="14"/>
  <c r="J11" i="14"/>
  <c r="H12" i="14"/>
  <c r="J12" i="14"/>
  <c r="G13" i="14"/>
  <c r="J13" i="14"/>
  <c r="J16" i="14"/>
  <c r="K16" i="14"/>
  <c r="G6" i="11"/>
  <c r="J6" i="11"/>
  <c r="J7" i="11"/>
  <c r="H8" i="11"/>
  <c r="G8" i="11"/>
  <c r="J8" i="11"/>
  <c r="G9" i="11"/>
  <c r="J9" i="11"/>
  <c r="J12" i="11"/>
  <c r="J13" i="11"/>
  <c r="K13" i="11"/>
  <c r="G86" i="11"/>
  <c r="G93" i="11"/>
  <c r="G98" i="11"/>
  <c r="G53" i="11"/>
  <c r="J53" i="11"/>
  <c r="G54" i="7"/>
  <c r="E213" i="30"/>
  <c r="E212" i="30"/>
  <c r="E215" i="30"/>
  <c r="E216" i="30"/>
  <c r="E201" i="30"/>
  <c r="E202" i="30"/>
  <c r="E203" i="30"/>
  <c r="E195" i="30"/>
  <c r="E192" i="30"/>
  <c r="E191" i="30"/>
  <c r="E190" i="30"/>
  <c r="E189" i="30"/>
  <c r="E181" i="30"/>
  <c r="E177" i="30"/>
  <c r="E178" i="30"/>
  <c r="E179" i="30"/>
  <c r="E176" i="30"/>
  <c r="E167" i="30"/>
  <c r="E165" i="30"/>
  <c r="E164" i="30"/>
  <c r="E163" i="30"/>
  <c r="C154" i="30"/>
  <c r="C157" i="30"/>
  <c r="C158" i="30"/>
  <c r="E142" i="30"/>
  <c r="C537" i="30"/>
  <c r="C536" i="30"/>
  <c r="E530" i="30"/>
  <c r="E531" i="30"/>
  <c r="E532" i="30"/>
  <c r="E529" i="30"/>
  <c r="E521" i="30"/>
  <c r="E522" i="30"/>
  <c r="F522" i="30"/>
  <c r="H522" i="30"/>
  <c r="E520" i="30"/>
  <c r="F520" i="30"/>
  <c r="H520" i="30"/>
  <c r="E517" i="30"/>
  <c r="E518" i="30"/>
  <c r="F518" i="30"/>
  <c r="H518" i="30"/>
  <c r="E516" i="30"/>
  <c r="F516" i="30"/>
  <c r="H516" i="30"/>
  <c r="E58" i="30"/>
  <c r="E41" i="30"/>
  <c r="E194" i="30"/>
  <c r="E197" i="30"/>
  <c r="E198" i="30"/>
  <c r="E166" i="30"/>
  <c r="E169" i="30"/>
  <c r="E170" i="30"/>
  <c r="E180" i="30"/>
  <c r="E183" i="30"/>
  <c r="E184" i="30"/>
  <c r="C539" i="30"/>
  <c r="F517" i="30"/>
  <c r="H517" i="30"/>
  <c r="E534" i="30"/>
  <c r="C542" i="30"/>
  <c r="F521" i="30"/>
  <c r="H521" i="30"/>
  <c r="E141" i="30"/>
  <c r="E144" i="30"/>
  <c r="E145" i="30"/>
  <c r="E131" i="30"/>
  <c r="E124" i="30"/>
  <c r="E120" i="30"/>
  <c r="E121" i="30"/>
  <c r="E122" i="30"/>
  <c r="E119" i="30"/>
  <c r="I113" i="30"/>
  <c r="I115" i="30"/>
  <c r="E110" i="30"/>
  <c r="E107" i="30"/>
  <c r="E108" i="30"/>
  <c r="E106" i="30"/>
  <c r="C96" i="30"/>
  <c r="C95" i="30"/>
  <c r="C99" i="30"/>
  <c r="C100" i="30"/>
  <c r="C101" i="30"/>
  <c r="E85" i="30"/>
  <c r="B82" i="30"/>
  <c r="C72" i="30"/>
  <c r="E77" i="30"/>
  <c r="E75" i="30"/>
  <c r="E76" i="30"/>
  <c r="G77" i="30"/>
  <c r="C63" i="30"/>
  <c r="E63" i="30"/>
  <c r="E53" i="30"/>
  <c r="E54" i="30"/>
  <c r="E55" i="30"/>
  <c r="E56" i="30"/>
  <c r="E52" i="30"/>
  <c r="E37" i="30"/>
  <c r="E38" i="30"/>
  <c r="E39" i="30"/>
  <c r="E36" i="30"/>
  <c r="D28" i="30"/>
  <c r="D29" i="30"/>
  <c r="D21" i="30"/>
  <c r="E10" i="30"/>
  <c r="E9" i="30"/>
  <c r="E115" i="30"/>
  <c r="E205" i="30"/>
  <c r="H524" i="30"/>
  <c r="C543" i="30"/>
  <c r="C545" i="30"/>
  <c r="E123" i="30"/>
  <c r="E126" i="30"/>
  <c r="E127" i="30"/>
  <c r="E109" i="30"/>
  <c r="E112" i="30"/>
  <c r="E113" i="30"/>
  <c r="E79" i="30"/>
  <c r="E86" i="30"/>
  <c r="E87" i="30"/>
  <c r="E132" i="30"/>
  <c r="E133" i="30"/>
  <c r="E57" i="30"/>
  <c r="E60" i="30"/>
  <c r="E40" i="30"/>
  <c r="E42" i="30"/>
  <c r="E43" i="30"/>
  <c r="E12" i="30"/>
  <c r="E135" i="30"/>
  <c r="G48" i="11"/>
  <c r="G20" i="18"/>
  <c r="J20" i="18"/>
  <c r="G50" i="19"/>
  <c r="G69" i="19"/>
  <c r="G65" i="19"/>
  <c r="G27" i="18"/>
  <c r="J27" i="18"/>
  <c r="G26" i="18"/>
  <c r="J26" i="18"/>
  <c r="G15" i="18"/>
  <c r="G14" i="18"/>
  <c r="J14" i="18"/>
  <c r="G35" i="18"/>
  <c r="J35" i="18"/>
  <c r="G5" i="18"/>
  <c r="G4" i="18"/>
  <c r="G71" i="19"/>
  <c r="J16" i="29"/>
  <c r="G15" i="29"/>
  <c r="J15" i="29"/>
  <c r="J14" i="29"/>
  <c r="J13" i="29"/>
  <c r="G12" i="29"/>
  <c r="J12" i="29"/>
  <c r="G11" i="29"/>
  <c r="J11" i="29"/>
  <c r="G10" i="29"/>
  <c r="J10" i="29"/>
  <c r="G9" i="29"/>
  <c r="J9" i="29"/>
  <c r="H8" i="29"/>
  <c r="G8" i="29"/>
  <c r="H7" i="29"/>
  <c r="G7" i="29"/>
  <c r="G6" i="29"/>
  <c r="J6" i="29"/>
  <c r="G5" i="29"/>
  <c r="J5" i="29"/>
  <c r="G4" i="29"/>
  <c r="J4" i="29"/>
  <c r="J15" i="18"/>
  <c r="G21" i="18"/>
  <c r="J21" i="18"/>
  <c r="J23" i="18"/>
  <c r="K23" i="18"/>
  <c r="J29" i="18"/>
  <c r="K29" i="18"/>
  <c r="J17" i="18"/>
  <c r="K17" i="18"/>
  <c r="J7" i="29"/>
  <c r="J8" i="29"/>
  <c r="B1" i="19"/>
  <c r="J17" i="29"/>
  <c r="K17" i="29"/>
  <c r="L17" i="29"/>
  <c r="N15" i="22"/>
  <c r="O15" i="22"/>
  <c r="H32" i="16"/>
  <c r="H18" i="16"/>
  <c r="H7" i="16"/>
  <c r="H16" i="12"/>
  <c r="H7" i="13"/>
  <c r="H9" i="16"/>
  <c r="G7" i="16"/>
  <c r="H24" i="12"/>
  <c r="H31" i="15"/>
  <c r="H8" i="15"/>
  <c r="H49" i="11"/>
  <c r="H46" i="19"/>
  <c r="J72" i="19"/>
  <c r="H71" i="19"/>
  <c r="J71" i="19"/>
  <c r="J70" i="19"/>
  <c r="J69" i="19"/>
  <c r="J65" i="19"/>
  <c r="J73" i="19"/>
  <c r="K73" i="19"/>
  <c r="G8" i="12"/>
  <c r="O30" i="15"/>
  <c r="O31" i="15"/>
  <c r="F65" i="17"/>
  <c r="H43" i="15"/>
  <c r="H32" i="15"/>
  <c r="G15" i="7"/>
  <c r="J15" i="7"/>
  <c r="G52" i="18"/>
  <c r="J52" i="18"/>
  <c r="H41" i="18"/>
  <c r="H42" i="18"/>
  <c r="H43" i="18"/>
  <c r="H44" i="18"/>
  <c r="H40" i="18"/>
  <c r="H49" i="18"/>
  <c r="H50" i="18"/>
  <c r="H51" i="18"/>
  <c r="H48" i="18"/>
  <c r="R51" i="18"/>
  <c r="G50" i="18"/>
  <c r="R53" i="18"/>
  <c r="G51" i="18"/>
  <c r="J51" i="18"/>
  <c r="R50" i="18"/>
  <c r="G49" i="18"/>
  <c r="R49" i="18"/>
  <c r="G48" i="18"/>
  <c r="J48" i="18"/>
  <c r="R41" i="18"/>
  <c r="G41" i="18"/>
  <c r="R43" i="18"/>
  <c r="G42" i="18"/>
  <c r="R44" i="18"/>
  <c r="G43" i="18"/>
  <c r="R45" i="18"/>
  <c r="G44" i="18"/>
  <c r="R40" i="18"/>
  <c r="G40" i="18"/>
  <c r="J39" i="18"/>
  <c r="F69" i="17"/>
  <c r="F68" i="17"/>
  <c r="F67" i="17"/>
  <c r="J49" i="18"/>
  <c r="E66" i="17"/>
  <c r="F66" i="17"/>
  <c r="J40" i="18"/>
  <c r="J44" i="18"/>
  <c r="J43" i="18"/>
  <c r="J42" i="18"/>
  <c r="J41" i="18"/>
  <c r="E64" i="17"/>
  <c r="F64" i="17"/>
  <c r="J50" i="18"/>
  <c r="J53" i="18"/>
  <c r="K53" i="18"/>
  <c r="W31" i="15"/>
  <c r="W30" i="15"/>
  <c r="W29" i="15"/>
  <c r="S44" i="15"/>
  <c r="S43" i="15"/>
  <c r="O44" i="15"/>
  <c r="O43" i="15"/>
  <c r="S41" i="15"/>
  <c r="O41" i="15"/>
  <c r="W11" i="15"/>
  <c r="W10" i="15"/>
  <c r="W12" i="15"/>
  <c r="V13" i="15"/>
  <c r="S31" i="15"/>
  <c r="S30" i="15"/>
  <c r="S29" i="15"/>
  <c r="O29" i="15"/>
  <c r="N32" i="15"/>
  <c r="N33" i="15"/>
  <c r="S12" i="15"/>
  <c r="S11" i="15"/>
  <c r="S10" i="15"/>
  <c r="R13" i="15"/>
  <c r="O11" i="15"/>
  <c r="O12" i="15"/>
  <c r="O10" i="15"/>
  <c r="V32" i="15"/>
  <c r="V33" i="15"/>
  <c r="J45" i="18"/>
  <c r="K45" i="18"/>
  <c r="R45" i="15"/>
  <c r="R46" i="15"/>
  <c r="R47" i="15"/>
  <c r="V14" i="15"/>
  <c r="R32" i="15"/>
  <c r="R33" i="15"/>
  <c r="N45" i="15"/>
  <c r="N46" i="15"/>
  <c r="N47" i="15"/>
  <c r="R14" i="15"/>
  <c r="N13" i="15"/>
  <c r="N14" i="15"/>
  <c r="H47" i="19"/>
  <c r="J61" i="19"/>
  <c r="G60" i="19"/>
  <c r="H59" i="19"/>
  <c r="G59" i="19"/>
  <c r="H58" i="19"/>
  <c r="G58" i="19"/>
  <c r="H57" i="19"/>
  <c r="G57" i="19"/>
  <c r="J52" i="19"/>
  <c r="J51" i="19"/>
  <c r="J50" i="19"/>
  <c r="H49" i="19"/>
  <c r="G49" i="19"/>
  <c r="H48" i="19"/>
  <c r="G48" i="19"/>
  <c r="G47" i="19"/>
  <c r="G46" i="19"/>
  <c r="J42" i="19"/>
  <c r="H41" i="19"/>
  <c r="G41" i="19"/>
  <c r="J40" i="19"/>
  <c r="G39" i="19"/>
  <c r="J39" i="19"/>
  <c r="H35" i="19"/>
  <c r="G35" i="19"/>
  <c r="J31" i="19"/>
  <c r="H30" i="19"/>
  <c r="G30" i="19"/>
  <c r="J29" i="19"/>
  <c r="G28" i="19"/>
  <c r="J28" i="19"/>
  <c r="H27" i="19"/>
  <c r="G27" i="19"/>
  <c r="H26" i="19"/>
  <c r="G26" i="19"/>
  <c r="H25" i="19"/>
  <c r="G25" i="19"/>
  <c r="H24" i="19"/>
  <c r="G24" i="19"/>
  <c r="G6" i="19"/>
  <c r="J6" i="19"/>
  <c r="G5" i="19"/>
  <c r="J5" i="19"/>
  <c r="G4" i="19"/>
  <c r="J4" i="19"/>
  <c r="J41" i="19"/>
  <c r="J24" i="19"/>
  <c r="J25" i="19"/>
  <c r="J26" i="19"/>
  <c r="J27" i="19"/>
  <c r="J30" i="19"/>
  <c r="J35" i="19"/>
  <c r="J46" i="19"/>
  <c r="J47" i="19"/>
  <c r="J48" i="19"/>
  <c r="J49" i="19"/>
  <c r="J57" i="19"/>
  <c r="J58" i="19"/>
  <c r="J59" i="19"/>
  <c r="J53" i="19"/>
  <c r="J43" i="19"/>
  <c r="J62" i="19"/>
  <c r="E13" i="17"/>
  <c r="F13" i="17"/>
  <c r="J32" i="19"/>
  <c r="E12" i="17"/>
  <c r="F12" i="17"/>
  <c r="K53" i="19"/>
  <c r="E11" i="17"/>
  <c r="F11" i="17"/>
  <c r="K43" i="19"/>
  <c r="J34" i="18"/>
  <c r="H33" i="18"/>
  <c r="G33" i="18"/>
  <c r="H32" i="18"/>
  <c r="G32" i="18"/>
  <c r="J10" i="18"/>
  <c r="G9" i="18"/>
  <c r="J9" i="18"/>
  <c r="G8" i="18"/>
  <c r="J8" i="18"/>
  <c r="J5" i="18"/>
  <c r="J4" i="18"/>
  <c r="B1" i="18"/>
  <c r="J7" i="18"/>
  <c r="K7" i="18"/>
  <c r="J11" i="18"/>
  <c r="J32" i="18"/>
  <c r="J33" i="18"/>
  <c r="E6" i="17"/>
  <c r="F6" i="17"/>
  <c r="J36" i="18"/>
  <c r="E7" i="17"/>
  <c r="F7" i="17"/>
  <c r="E5" i="17"/>
  <c r="F5" i="17"/>
  <c r="J23" i="15"/>
  <c r="G21" i="15"/>
  <c r="J21" i="15"/>
  <c r="G20" i="15"/>
  <c r="G19" i="15"/>
  <c r="J19" i="15"/>
  <c r="J25" i="15"/>
  <c r="G22" i="15"/>
  <c r="J22" i="15"/>
  <c r="H20" i="15"/>
  <c r="K36" i="18"/>
  <c r="J20" i="15"/>
  <c r="J26" i="15"/>
  <c r="K26" i="15"/>
  <c r="E24" i="17"/>
  <c r="F24" i="17"/>
  <c r="G55" i="16"/>
  <c r="J55" i="16"/>
  <c r="G45" i="16"/>
  <c r="G81" i="16"/>
  <c r="J81" i="16"/>
  <c r="G80" i="16"/>
  <c r="J80" i="16"/>
  <c r="H79" i="16"/>
  <c r="G79" i="16"/>
  <c r="J78" i="16"/>
  <c r="J77" i="16"/>
  <c r="G76" i="16"/>
  <c r="J76" i="16"/>
  <c r="G54" i="16"/>
  <c r="J54" i="16"/>
  <c r="H53" i="16"/>
  <c r="G53" i="16"/>
  <c r="G52" i="16"/>
  <c r="J45" i="16"/>
  <c r="G44" i="16"/>
  <c r="J44" i="16"/>
  <c r="J43" i="16"/>
  <c r="H42" i="16"/>
  <c r="G42" i="16"/>
  <c r="H41" i="16"/>
  <c r="G41" i="16"/>
  <c r="H40" i="16"/>
  <c r="G40" i="16"/>
  <c r="H34" i="16"/>
  <c r="G34" i="16"/>
  <c r="J34" i="16"/>
  <c r="G32" i="16"/>
  <c r="G20" i="16"/>
  <c r="J20" i="16"/>
  <c r="G18" i="16"/>
  <c r="J18" i="16"/>
  <c r="G9" i="16"/>
  <c r="J9" i="16"/>
  <c r="G44" i="15"/>
  <c r="J44" i="15"/>
  <c r="G43" i="15"/>
  <c r="J43" i="15"/>
  <c r="H42" i="15"/>
  <c r="G42" i="15"/>
  <c r="J42" i="15"/>
  <c r="J41" i="15"/>
  <c r="G33" i="15"/>
  <c r="J33" i="15"/>
  <c r="G32" i="15"/>
  <c r="J32" i="15"/>
  <c r="G31" i="15"/>
  <c r="J31" i="15"/>
  <c r="J30" i="15"/>
  <c r="J13" i="15"/>
  <c r="G10" i="15"/>
  <c r="J10" i="15"/>
  <c r="G9" i="15"/>
  <c r="J9" i="15"/>
  <c r="G8" i="15"/>
  <c r="J8" i="15"/>
  <c r="J7" i="15"/>
  <c r="G60" i="12"/>
  <c r="G61" i="12"/>
  <c r="G63" i="12"/>
  <c r="J64" i="12"/>
  <c r="H63" i="12"/>
  <c r="H62" i="12"/>
  <c r="G62" i="12"/>
  <c r="H61" i="12"/>
  <c r="H60" i="12"/>
  <c r="G10" i="13"/>
  <c r="J12" i="13"/>
  <c r="H10" i="13"/>
  <c r="G8" i="13"/>
  <c r="J8" i="13"/>
  <c r="G7" i="13"/>
  <c r="J7" i="13"/>
  <c r="G54" i="12"/>
  <c r="J54" i="12"/>
  <c r="H53" i="12"/>
  <c r="H52" i="12"/>
  <c r="H51" i="12"/>
  <c r="H50" i="12"/>
  <c r="G46" i="12"/>
  <c r="J46" i="12"/>
  <c r="H45" i="12"/>
  <c r="H44" i="12"/>
  <c r="H43" i="12"/>
  <c r="H42" i="12"/>
  <c r="G38" i="12"/>
  <c r="J38" i="12"/>
  <c r="H37" i="12"/>
  <c r="G37" i="12"/>
  <c r="G53" i="12"/>
  <c r="H36" i="12"/>
  <c r="G36" i="12"/>
  <c r="G52" i="12"/>
  <c r="H35" i="12"/>
  <c r="G35" i="12"/>
  <c r="G51" i="12"/>
  <c r="H34" i="12"/>
  <c r="G34" i="12"/>
  <c r="G50" i="12"/>
  <c r="G28" i="12"/>
  <c r="J28" i="12"/>
  <c r="H27" i="12"/>
  <c r="G27" i="12"/>
  <c r="H26" i="12"/>
  <c r="G26" i="12"/>
  <c r="H25" i="12"/>
  <c r="G25" i="12"/>
  <c r="G24" i="12"/>
  <c r="G20" i="12"/>
  <c r="J20" i="12"/>
  <c r="H19" i="12"/>
  <c r="G19" i="12"/>
  <c r="H18" i="12"/>
  <c r="G18" i="12"/>
  <c r="H17" i="12"/>
  <c r="G17" i="12"/>
  <c r="G16" i="12"/>
  <c r="G12" i="12"/>
  <c r="J12" i="12"/>
  <c r="H11" i="12"/>
  <c r="G11" i="12"/>
  <c r="H10" i="12"/>
  <c r="G10" i="12"/>
  <c r="H9" i="12"/>
  <c r="G9" i="12"/>
  <c r="J99" i="11"/>
  <c r="J98" i="11"/>
  <c r="J97" i="11"/>
  <c r="H96" i="11"/>
  <c r="G96" i="11"/>
  <c r="H95" i="11"/>
  <c r="G95" i="11"/>
  <c r="H94" i="11"/>
  <c r="G94" i="11"/>
  <c r="J93" i="11"/>
  <c r="J89" i="11"/>
  <c r="J86" i="11"/>
  <c r="H85" i="11"/>
  <c r="G85" i="11"/>
  <c r="H84" i="11"/>
  <c r="G84" i="11"/>
  <c r="H83" i="11"/>
  <c r="G83" i="11"/>
  <c r="H82" i="11"/>
  <c r="G82" i="11"/>
  <c r="J78" i="11"/>
  <c r="G77" i="11"/>
  <c r="J77" i="11"/>
  <c r="H76" i="11"/>
  <c r="G76" i="11"/>
  <c r="H75" i="11"/>
  <c r="G75" i="11"/>
  <c r="J75" i="11"/>
  <c r="H74" i="11"/>
  <c r="G74" i="11"/>
  <c r="G73" i="11"/>
  <c r="J73" i="11"/>
  <c r="J68" i="11"/>
  <c r="G65" i="11"/>
  <c r="J65" i="11"/>
  <c r="H64" i="11"/>
  <c r="G64" i="11"/>
  <c r="H63" i="11"/>
  <c r="G63" i="11"/>
  <c r="H62" i="11"/>
  <c r="G62" i="11"/>
  <c r="H61" i="11"/>
  <c r="G61" i="11"/>
  <c r="H60" i="11"/>
  <c r="G60" i="11"/>
  <c r="J56" i="11"/>
  <c r="H52" i="11"/>
  <c r="G52" i="11"/>
  <c r="H51" i="11"/>
  <c r="G51" i="11"/>
  <c r="H50" i="11"/>
  <c r="G50" i="11"/>
  <c r="G49" i="11"/>
  <c r="J48" i="11"/>
  <c r="J44" i="11"/>
  <c r="G41" i="11"/>
  <c r="H40" i="11"/>
  <c r="G40" i="11"/>
  <c r="H39" i="11"/>
  <c r="G39" i="11"/>
  <c r="H38" i="11"/>
  <c r="G38" i="11"/>
  <c r="J38" i="11"/>
  <c r="H37" i="11"/>
  <c r="G37" i="11"/>
  <c r="G36" i="11"/>
  <c r="J36" i="11"/>
  <c r="J34" i="11"/>
  <c r="G33" i="11"/>
  <c r="J33" i="11"/>
  <c r="G30" i="11"/>
  <c r="J30" i="11"/>
  <c r="H29" i="11"/>
  <c r="G29" i="11"/>
  <c r="H28" i="11"/>
  <c r="G28" i="11"/>
  <c r="H27" i="11"/>
  <c r="G27" i="11"/>
  <c r="H26" i="11"/>
  <c r="G26" i="11"/>
  <c r="G25" i="11"/>
  <c r="J25" i="11"/>
  <c r="J23" i="11"/>
  <c r="G22" i="11"/>
  <c r="J22" i="11"/>
  <c r="G19" i="11"/>
  <c r="J19" i="11"/>
  <c r="H18" i="11"/>
  <c r="G18" i="11"/>
  <c r="H17" i="11"/>
  <c r="G17" i="11"/>
  <c r="H16" i="11"/>
  <c r="G16" i="11"/>
  <c r="J16" i="11"/>
  <c r="H15" i="11"/>
  <c r="G15" i="11"/>
  <c r="G14" i="11"/>
  <c r="J14" i="11"/>
  <c r="H126" i="2"/>
  <c r="J48" i="15"/>
  <c r="K48" i="15"/>
  <c r="J37" i="15"/>
  <c r="K37" i="15"/>
  <c r="J61" i="12"/>
  <c r="J63" i="12"/>
  <c r="J82" i="11"/>
  <c r="J50" i="12"/>
  <c r="J52" i="12"/>
  <c r="J18" i="11"/>
  <c r="J40" i="11"/>
  <c r="J84" i="11"/>
  <c r="J10" i="13"/>
  <c r="E35" i="17"/>
  <c r="F35" i="17"/>
  <c r="J50" i="11"/>
  <c r="J49" i="11"/>
  <c r="J51" i="11"/>
  <c r="J52" i="11"/>
  <c r="J57" i="11"/>
  <c r="K57" i="11"/>
  <c r="J14" i="15"/>
  <c r="K14" i="15"/>
  <c r="J53" i="16"/>
  <c r="J79" i="16"/>
  <c r="J82" i="16"/>
  <c r="K82" i="16"/>
  <c r="J7" i="16"/>
  <c r="J26" i="16"/>
  <c r="K26" i="16"/>
  <c r="J40" i="16"/>
  <c r="J42" i="16"/>
  <c r="J32" i="16"/>
  <c r="J41" i="16"/>
  <c r="J52" i="16"/>
  <c r="J8" i="12"/>
  <c r="J60" i="12"/>
  <c r="J62" i="12"/>
  <c r="J17" i="12"/>
  <c r="J19" i="12"/>
  <c r="J25" i="12"/>
  <c r="J24" i="12"/>
  <c r="J27" i="12"/>
  <c r="J29" i="12"/>
  <c r="J9" i="12"/>
  <c r="J11" i="12"/>
  <c r="J16" i="12"/>
  <c r="J35" i="12"/>
  <c r="J37" i="12"/>
  <c r="G43" i="12"/>
  <c r="J43" i="12"/>
  <c r="G45" i="12"/>
  <c r="J45" i="12"/>
  <c r="J51" i="12"/>
  <c r="J53" i="12"/>
  <c r="G42" i="12"/>
  <c r="J42" i="12"/>
  <c r="G44" i="12"/>
  <c r="J44" i="12"/>
  <c r="J34" i="12"/>
  <c r="J36" i="12"/>
  <c r="J95" i="11"/>
  <c r="J26" i="11"/>
  <c r="J28" i="11"/>
  <c r="J61" i="11"/>
  <c r="J63" i="11"/>
  <c r="J15" i="11"/>
  <c r="J17" i="11"/>
  <c r="J27" i="11"/>
  <c r="J29" i="11"/>
  <c r="J37" i="11"/>
  <c r="J39" i="11"/>
  <c r="J60" i="11"/>
  <c r="J62" i="11"/>
  <c r="J64" i="11"/>
  <c r="J74" i="11"/>
  <c r="J76" i="11"/>
  <c r="J83" i="11"/>
  <c r="J85" i="11"/>
  <c r="J94" i="11"/>
  <c r="J96" i="11"/>
  <c r="J13" i="12"/>
  <c r="E26" i="17"/>
  <c r="F26" i="17"/>
  <c r="E34" i="17"/>
  <c r="F34" i="17"/>
  <c r="J15" i="16"/>
  <c r="K15" i="16"/>
  <c r="J13" i="13"/>
  <c r="E37" i="17"/>
  <c r="F37" i="17"/>
  <c r="J21" i="12"/>
  <c r="K21" i="12"/>
  <c r="K13" i="12"/>
  <c r="J35" i="11"/>
  <c r="J79" i="11"/>
  <c r="K79" i="11"/>
  <c r="E22" i="17"/>
  <c r="F22" i="17"/>
  <c r="J56" i="16"/>
  <c r="K56" i="16"/>
  <c r="J100" i="11"/>
  <c r="K100" i="11"/>
  <c r="E39" i="17"/>
  <c r="F39" i="17"/>
  <c r="E29" i="17"/>
  <c r="F29" i="17"/>
  <c r="J55" i="12"/>
  <c r="E51" i="17"/>
  <c r="F51" i="17"/>
  <c r="J65" i="12"/>
  <c r="E52" i="17"/>
  <c r="F52" i="17"/>
  <c r="J39" i="16"/>
  <c r="K39" i="16"/>
  <c r="J46" i="16"/>
  <c r="E31" i="17"/>
  <c r="F31" i="17"/>
  <c r="J39" i="12"/>
  <c r="E49" i="17"/>
  <c r="F49" i="17"/>
  <c r="J47" i="12"/>
  <c r="E50" i="17"/>
  <c r="F50" i="17"/>
  <c r="J90" i="11"/>
  <c r="K90" i="11"/>
  <c r="J45" i="11"/>
  <c r="J24" i="11"/>
  <c r="J69" i="11"/>
  <c r="K69" i="11"/>
  <c r="G30" i="7"/>
  <c r="E28" i="17"/>
  <c r="F28" i="17"/>
  <c r="E23" i="17"/>
  <c r="F23" i="17"/>
  <c r="E47" i="17"/>
  <c r="F47" i="17"/>
  <c r="E25" i="17"/>
  <c r="F25" i="17"/>
  <c r="E32" i="17"/>
  <c r="F32" i="17"/>
  <c r="E48" i="17"/>
  <c r="F48" i="17"/>
  <c r="K29" i="12"/>
  <c r="E46" i="17"/>
  <c r="F46" i="17"/>
  <c r="E41" i="17"/>
  <c r="F41" i="17"/>
  <c r="E42" i="17"/>
  <c r="F42" i="17"/>
  <c r="E44" i="17"/>
  <c r="F44" i="17"/>
  <c r="E40" i="17"/>
  <c r="F40" i="17"/>
  <c r="E43" i="17"/>
  <c r="F43" i="17"/>
  <c r="E30" i="17"/>
  <c r="F30" i="17"/>
  <c r="G240" i="2"/>
  <c r="J240" i="2"/>
  <c r="J105" i="2"/>
  <c r="G82" i="2"/>
  <c r="J82" i="2"/>
  <c r="H81" i="2"/>
  <c r="G81" i="2"/>
  <c r="H80" i="2"/>
  <c r="G80" i="2"/>
  <c r="J80" i="2"/>
  <c r="G239" i="2"/>
  <c r="J239" i="2"/>
  <c r="J244" i="2"/>
  <c r="H242" i="2"/>
  <c r="G242" i="2"/>
  <c r="J58" i="2"/>
  <c r="J65" i="2"/>
  <c r="J50" i="2"/>
  <c r="J242" i="2"/>
  <c r="J245" i="2"/>
  <c r="J81" i="2"/>
  <c r="J83" i="2"/>
  <c r="K83" i="2"/>
  <c r="L83" i="2"/>
  <c r="G151" i="2"/>
  <c r="J151" i="2"/>
  <c r="G140" i="2"/>
  <c r="J140" i="2"/>
  <c r="G52" i="5"/>
  <c r="G43" i="5"/>
  <c r="G33" i="5"/>
  <c r="G19" i="5"/>
  <c r="G9" i="5"/>
  <c r="J12" i="19"/>
  <c r="E9" i="17"/>
  <c r="F9" i="17"/>
  <c r="J23" i="19"/>
  <c r="K23" i="19"/>
  <c r="K245" i="2"/>
  <c r="L245" i="2"/>
  <c r="N245" i="2"/>
  <c r="G20" i="5"/>
  <c r="G81" i="8"/>
  <c r="G98" i="8"/>
  <c r="G80" i="8"/>
  <c r="G97" i="8"/>
  <c r="G79" i="8"/>
  <c r="G96" i="8"/>
  <c r="G78" i="8"/>
  <c r="G95" i="8"/>
  <c r="G65" i="8"/>
  <c r="G47" i="8"/>
  <c r="G64" i="8"/>
  <c r="G46" i="8"/>
  <c r="G63" i="8"/>
  <c r="G45" i="8"/>
  <c r="G62" i="8"/>
  <c r="G44" i="8"/>
  <c r="G61" i="8"/>
  <c r="G19" i="8"/>
  <c r="G18" i="8"/>
  <c r="G17" i="8"/>
  <c r="G16" i="8"/>
  <c r="G103" i="8"/>
  <c r="B1" i="29"/>
  <c r="G101" i="5"/>
  <c r="G95" i="5"/>
  <c r="J95" i="5"/>
  <c r="G97" i="5"/>
  <c r="J97" i="5"/>
  <c r="G96" i="5"/>
  <c r="J96" i="5"/>
  <c r="J98" i="5"/>
  <c r="E10" i="17"/>
  <c r="F10" i="17"/>
  <c r="B1" i="16"/>
  <c r="B1" i="15"/>
  <c r="B1" i="11"/>
  <c r="B1" i="14"/>
  <c r="B1" i="13"/>
  <c r="G148" i="5"/>
  <c r="G141" i="5"/>
  <c r="G134" i="5"/>
  <c r="G127" i="5"/>
  <c r="G102" i="5"/>
  <c r="G120" i="5"/>
  <c r="G121" i="5"/>
  <c r="G113" i="5"/>
  <c r="G114" i="5"/>
  <c r="G107" i="5"/>
  <c r="G108" i="5"/>
  <c r="J82" i="5"/>
  <c r="G53" i="5"/>
  <c r="G18" i="5"/>
  <c r="G5" i="5"/>
  <c r="E62" i="9"/>
  <c r="G42" i="5"/>
  <c r="G89" i="5"/>
  <c r="G88" i="5"/>
  <c r="G81" i="5"/>
  <c r="G75" i="5"/>
  <c r="G51" i="5"/>
  <c r="G41" i="5"/>
  <c r="G31" i="5"/>
  <c r="G17" i="5"/>
  <c r="G4" i="5"/>
  <c r="J76" i="5"/>
  <c r="G151" i="5"/>
  <c r="G144" i="5"/>
  <c r="G137" i="5"/>
  <c r="G91" i="5"/>
  <c r="G84" i="5"/>
  <c r="G77" i="5"/>
  <c r="G103" i="5"/>
  <c r="G109" i="5"/>
  <c r="G116" i="5"/>
  <c r="G130" i="5"/>
  <c r="G123" i="5"/>
  <c r="G59" i="5"/>
  <c r="G47" i="5"/>
  <c r="G37" i="5"/>
  <c r="G27" i="5"/>
  <c r="G13" i="5"/>
  <c r="G237" i="2"/>
  <c r="J237" i="2"/>
  <c r="G256" i="2"/>
  <c r="J256" i="2"/>
  <c r="G250" i="2"/>
  <c r="J250" i="2"/>
  <c r="G236" i="2"/>
  <c r="G255" i="2"/>
  <c r="G235" i="2"/>
  <c r="G254" i="2"/>
  <c r="G234" i="2"/>
  <c r="G253" i="2"/>
  <c r="G233" i="2"/>
  <c r="G252" i="2"/>
  <c r="H255" i="2"/>
  <c r="H254" i="2"/>
  <c r="H253" i="2"/>
  <c r="H252" i="2"/>
  <c r="H249" i="2"/>
  <c r="H248" i="2"/>
  <c r="H247" i="2"/>
  <c r="H246" i="2"/>
  <c r="H236" i="2"/>
  <c r="H235" i="2"/>
  <c r="H234" i="2"/>
  <c r="H233" i="2"/>
  <c r="G104" i="8"/>
  <c r="G87" i="8"/>
  <c r="G86" i="8"/>
  <c r="G85" i="8"/>
  <c r="G70" i="8"/>
  <c r="G69" i="8"/>
  <c r="J234" i="2"/>
  <c r="J236" i="2"/>
  <c r="J233" i="2"/>
  <c r="J235" i="2"/>
  <c r="G32" i="5"/>
  <c r="J252" i="2"/>
  <c r="J253" i="2"/>
  <c r="J254" i="2"/>
  <c r="J255" i="2"/>
  <c r="G249" i="2"/>
  <c r="J249" i="2"/>
  <c r="G248" i="2"/>
  <c r="J248" i="2"/>
  <c r="G247" i="2"/>
  <c r="J247" i="2"/>
  <c r="G246" i="2"/>
  <c r="J246" i="2"/>
  <c r="G53" i="8"/>
  <c r="G52" i="8"/>
  <c r="G51" i="8"/>
  <c r="G25" i="8"/>
  <c r="G24" i="8"/>
  <c r="G23" i="8"/>
  <c r="G231" i="2"/>
  <c r="G225" i="2"/>
  <c r="G219" i="2"/>
  <c r="G212" i="2"/>
  <c r="G205" i="2"/>
  <c r="G195" i="2"/>
  <c r="G188" i="2"/>
  <c r="G179" i="2"/>
  <c r="G169" i="2"/>
  <c r="G159" i="2"/>
  <c r="G148" i="2"/>
  <c r="G137" i="2"/>
  <c r="G119" i="2"/>
  <c r="J119" i="2"/>
  <c r="H118" i="2"/>
  <c r="J118" i="2"/>
  <c r="H117" i="2"/>
  <c r="J117" i="2"/>
  <c r="H116" i="2"/>
  <c r="J116" i="2"/>
  <c r="J115" i="2"/>
  <c r="J114" i="2"/>
  <c r="J113" i="2"/>
  <c r="G109" i="2"/>
  <c r="G98" i="2"/>
  <c r="G89" i="2"/>
  <c r="G78" i="2"/>
  <c r="G74" i="2"/>
  <c r="G70" i="2"/>
  <c r="G67" i="2"/>
  <c r="G66" i="2"/>
  <c r="G60" i="2"/>
  <c r="G59" i="2"/>
  <c r="G49" i="2"/>
  <c r="G41" i="2"/>
  <c r="G33" i="2"/>
  <c r="G25" i="2"/>
  <c r="J25" i="2"/>
  <c r="G24" i="2"/>
  <c r="J24" i="2"/>
  <c r="G23" i="2"/>
  <c r="G22" i="2"/>
  <c r="G21" i="2"/>
  <c r="J21" i="2"/>
  <c r="J27" i="2"/>
  <c r="H23" i="2"/>
  <c r="H22" i="2"/>
  <c r="G13" i="2"/>
  <c r="G17" i="2"/>
  <c r="J23" i="2"/>
  <c r="J22" i="2"/>
  <c r="J238" i="2"/>
  <c r="K238" i="2"/>
  <c r="L238" i="2"/>
  <c r="J251" i="2"/>
  <c r="K251" i="2"/>
  <c r="L251" i="2"/>
  <c r="J122" i="2"/>
  <c r="L122" i="2"/>
  <c r="J257" i="2"/>
  <c r="K257" i="2"/>
  <c r="L257" i="2"/>
  <c r="G9" i="2"/>
  <c r="G124" i="7"/>
  <c r="G110" i="7"/>
  <c r="G93" i="7"/>
  <c r="G61" i="7"/>
  <c r="G46" i="7"/>
  <c r="G129" i="8"/>
  <c r="G114" i="8"/>
  <c r="G113" i="8"/>
  <c r="G112" i="8"/>
  <c r="G111" i="8"/>
  <c r="G110" i="8"/>
  <c r="G109" i="8"/>
  <c r="G108" i="8"/>
  <c r="H107" i="7"/>
  <c r="H121" i="7"/>
  <c r="G121" i="7"/>
  <c r="J121" i="7"/>
  <c r="G125" i="7"/>
  <c r="J120" i="7"/>
  <c r="H115" i="7"/>
  <c r="G115" i="7"/>
  <c r="J127" i="7"/>
  <c r="J126" i="7"/>
  <c r="H125" i="7"/>
  <c r="J124" i="7"/>
  <c r="J123" i="7"/>
  <c r="J122" i="7"/>
  <c r="H106" i="7"/>
  <c r="H104" i="7"/>
  <c r="J125" i="7"/>
  <c r="J115" i="7"/>
  <c r="H111" i="7"/>
  <c r="H103" i="7"/>
  <c r="H102" i="7"/>
  <c r="J128" i="7"/>
  <c r="G111" i="7"/>
  <c r="J111" i="7"/>
  <c r="G107" i="7"/>
  <c r="J107" i="7"/>
  <c r="G106" i="7"/>
  <c r="J106" i="7"/>
  <c r="G104" i="7"/>
  <c r="J104" i="7"/>
  <c r="G103" i="7"/>
  <c r="J103" i="7"/>
  <c r="G102" i="7"/>
  <c r="J102" i="7"/>
  <c r="J105" i="7"/>
  <c r="J113" i="7"/>
  <c r="J112" i="7"/>
  <c r="J110" i="7"/>
  <c r="J109" i="7"/>
  <c r="J108" i="7"/>
  <c r="J114" i="7"/>
  <c r="H87" i="2"/>
  <c r="J85" i="2"/>
  <c r="J86" i="2"/>
  <c r="G84" i="2"/>
  <c r="J84" i="2"/>
  <c r="G88" i="2"/>
  <c r="J88" i="2"/>
  <c r="G87" i="2"/>
  <c r="J87" i="2"/>
  <c r="G56" i="2"/>
  <c r="G55" i="2"/>
  <c r="G54" i="2"/>
  <c r="G64" i="2"/>
  <c r="G63" i="2"/>
  <c r="G62" i="2"/>
  <c r="J89" i="2"/>
  <c r="H38" i="2"/>
  <c r="J91" i="5"/>
  <c r="J90" i="5"/>
  <c r="J89" i="5"/>
  <c r="J88" i="5"/>
  <c r="J151" i="5"/>
  <c r="J149" i="5"/>
  <c r="J148" i="5"/>
  <c r="J137" i="5"/>
  <c r="J135" i="5"/>
  <c r="J134" i="5"/>
  <c r="J47" i="5"/>
  <c r="J46" i="5"/>
  <c r="J45" i="5"/>
  <c r="J44" i="5"/>
  <c r="J43" i="5"/>
  <c r="J42" i="5"/>
  <c r="J41" i="5"/>
  <c r="G57" i="8"/>
  <c r="G58" i="8"/>
  <c r="G59" i="8"/>
  <c r="G60" i="8"/>
  <c r="J60" i="8"/>
  <c r="G66" i="8"/>
  <c r="G67" i="8"/>
  <c r="G101" i="8"/>
  <c r="G100" i="8"/>
  <c r="G94" i="8"/>
  <c r="J94" i="8"/>
  <c r="G93" i="8"/>
  <c r="G92" i="8"/>
  <c r="G91" i="8"/>
  <c r="J104" i="8"/>
  <c r="J103" i="8"/>
  <c r="J102" i="8"/>
  <c r="H101" i="8"/>
  <c r="H100" i="8"/>
  <c r="J99" i="8"/>
  <c r="J98" i="8"/>
  <c r="J97" i="8"/>
  <c r="J96" i="8"/>
  <c r="J95" i="8"/>
  <c r="H93" i="8"/>
  <c r="H92" i="8"/>
  <c r="J92" i="8"/>
  <c r="H91" i="8"/>
  <c r="J70" i="8"/>
  <c r="J69" i="8"/>
  <c r="J68" i="8"/>
  <c r="H67" i="8"/>
  <c r="H66" i="8"/>
  <c r="J65" i="8"/>
  <c r="J64" i="8"/>
  <c r="J63" i="8"/>
  <c r="J62" i="8"/>
  <c r="J61" i="8"/>
  <c r="H59" i="8"/>
  <c r="H58" i="8"/>
  <c r="H57" i="8"/>
  <c r="J93" i="8"/>
  <c r="J66" i="8"/>
  <c r="J67" i="8"/>
  <c r="J91" i="8"/>
  <c r="J138" i="5"/>
  <c r="J58" i="8"/>
  <c r="J92" i="5"/>
  <c r="J100" i="8"/>
  <c r="J90" i="2"/>
  <c r="K90" i="2"/>
  <c r="L90" i="2"/>
  <c r="J57" i="8"/>
  <c r="J59" i="8"/>
  <c r="J101" i="8"/>
  <c r="J48" i="5"/>
  <c r="J152" i="5"/>
  <c r="J204" i="2"/>
  <c r="G203" i="2"/>
  <c r="G202" i="2"/>
  <c r="G201" i="2"/>
  <c r="J206" i="2"/>
  <c r="J205" i="2"/>
  <c r="H203" i="2"/>
  <c r="H202" i="2"/>
  <c r="H201" i="2"/>
  <c r="J200" i="2"/>
  <c r="G104" i="2"/>
  <c r="J104" i="2"/>
  <c r="G103" i="2"/>
  <c r="J103" i="2"/>
  <c r="J109" i="2"/>
  <c r="J108" i="2"/>
  <c r="J107" i="2"/>
  <c r="H106" i="2"/>
  <c r="J106" i="2"/>
  <c r="J102" i="2"/>
  <c r="H64" i="2"/>
  <c r="J64" i="2"/>
  <c r="H63" i="2"/>
  <c r="H62" i="2"/>
  <c r="J62" i="2"/>
  <c r="J67" i="2"/>
  <c r="J66" i="2"/>
  <c r="J63" i="2"/>
  <c r="J213" i="2"/>
  <c r="J198" i="2"/>
  <c r="J189" i="2"/>
  <c r="J182" i="2"/>
  <c r="J172" i="2"/>
  <c r="J162" i="2"/>
  <c r="J152" i="2"/>
  <c r="J141" i="2"/>
  <c r="J130" i="2"/>
  <c r="H157" i="2"/>
  <c r="H56" i="2"/>
  <c r="H55" i="2"/>
  <c r="H54" i="2"/>
  <c r="H40" i="2"/>
  <c r="H39" i="2"/>
  <c r="G223" i="2"/>
  <c r="H223" i="2"/>
  <c r="H224" i="2"/>
  <c r="H222" i="2"/>
  <c r="H221" i="2"/>
  <c r="G224" i="2"/>
  <c r="G222" i="2"/>
  <c r="J222" i="2"/>
  <c r="G221" i="2"/>
  <c r="J225" i="2"/>
  <c r="G90" i="7"/>
  <c r="G58" i="7"/>
  <c r="G27" i="7"/>
  <c r="G42" i="7"/>
  <c r="G94" i="7"/>
  <c r="G62" i="7"/>
  <c r="G31" i="7"/>
  <c r="J105" i="8"/>
  <c r="E58" i="17"/>
  <c r="F58" i="17"/>
  <c r="J224" i="2"/>
  <c r="J221" i="2"/>
  <c r="J223" i="2"/>
  <c r="J68" i="2"/>
  <c r="N68" i="2"/>
  <c r="J112" i="2"/>
  <c r="J201" i="2"/>
  <c r="J71" i="8"/>
  <c r="E56" i="17"/>
  <c r="F56" i="17"/>
  <c r="J202" i="2"/>
  <c r="J203" i="2"/>
  <c r="G86" i="7"/>
  <c r="J86" i="7"/>
  <c r="J96" i="7"/>
  <c r="J95" i="7"/>
  <c r="J94" i="7"/>
  <c r="J93" i="7"/>
  <c r="J92" i="7"/>
  <c r="J91" i="7"/>
  <c r="J90" i="7"/>
  <c r="J54" i="7"/>
  <c r="J64" i="7"/>
  <c r="J63" i="7"/>
  <c r="J62" i="7"/>
  <c r="J61" i="7"/>
  <c r="J60" i="7"/>
  <c r="J59" i="7"/>
  <c r="J58" i="7"/>
  <c r="J23" i="7"/>
  <c r="J33" i="7"/>
  <c r="J32" i="7"/>
  <c r="J31" i="7"/>
  <c r="J30" i="7"/>
  <c r="J29" i="7"/>
  <c r="J28" i="7"/>
  <c r="J27" i="7"/>
  <c r="G84" i="8"/>
  <c r="G83" i="8"/>
  <c r="G77" i="8"/>
  <c r="G76" i="8"/>
  <c r="G75" i="8"/>
  <c r="G74" i="8"/>
  <c r="G50" i="8"/>
  <c r="G49" i="8"/>
  <c r="G43" i="8"/>
  <c r="G42" i="8"/>
  <c r="G41" i="8"/>
  <c r="G40" i="8"/>
  <c r="G22" i="8"/>
  <c r="G15" i="8"/>
  <c r="G14" i="8"/>
  <c r="G230" i="2"/>
  <c r="G229" i="2"/>
  <c r="G228" i="2"/>
  <c r="G227" i="2"/>
  <c r="G218" i="2"/>
  <c r="G211" i="2"/>
  <c r="G210" i="2"/>
  <c r="G217" i="2"/>
  <c r="G216" i="2"/>
  <c r="G215" i="2"/>
  <c r="H211" i="2"/>
  <c r="H210" i="2"/>
  <c r="H194" i="2"/>
  <c r="H193" i="2"/>
  <c r="H192" i="2"/>
  <c r="H167" i="2"/>
  <c r="H166" i="2"/>
  <c r="H165" i="2"/>
  <c r="H156" i="2"/>
  <c r="H155" i="2"/>
  <c r="H177" i="2"/>
  <c r="H176" i="2"/>
  <c r="H175" i="2"/>
  <c r="H187" i="2"/>
  <c r="H186" i="2"/>
  <c r="H185" i="2"/>
  <c r="H209" i="2"/>
  <c r="G209" i="2"/>
  <c r="G208" i="2"/>
  <c r="G194" i="2"/>
  <c r="G193" i="2"/>
  <c r="G192" i="2"/>
  <c r="G191" i="2"/>
  <c r="G187" i="2"/>
  <c r="G186" i="2"/>
  <c r="G185" i="2"/>
  <c r="G184" i="2"/>
  <c r="G178" i="2"/>
  <c r="G177" i="2"/>
  <c r="G176" i="2"/>
  <c r="G175" i="2"/>
  <c r="G174" i="2"/>
  <c r="G168" i="2"/>
  <c r="G167" i="2"/>
  <c r="G166" i="2"/>
  <c r="G165" i="2"/>
  <c r="G164" i="2"/>
  <c r="G158" i="2"/>
  <c r="G157" i="2"/>
  <c r="G156" i="2"/>
  <c r="G155" i="2"/>
  <c r="G154" i="2"/>
  <c r="G147" i="2"/>
  <c r="G146" i="2"/>
  <c r="G145" i="2"/>
  <c r="G144" i="2"/>
  <c r="G143" i="2"/>
  <c r="G136" i="2"/>
  <c r="G135" i="2"/>
  <c r="G134" i="2"/>
  <c r="G133" i="2"/>
  <c r="G132" i="2"/>
  <c r="G124" i="2"/>
  <c r="G126" i="2"/>
  <c r="G97" i="2"/>
  <c r="G96" i="2"/>
  <c r="G95" i="2"/>
  <c r="G94" i="2"/>
  <c r="G93" i="2"/>
  <c r="G77" i="2"/>
  <c r="G73" i="2"/>
  <c r="H76" i="2"/>
  <c r="G76" i="2"/>
  <c r="G72" i="2"/>
  <c r="G69" i="2"/>
  <c r="G47" i="2"/>
  <c r="G46" i="2"/>
  <c r="G45" i="2"/>
  <c r="G40" i="2"/>
  <c r="G39" i="2"/>
  <c r="G38" i="2"/>
  <c r="G32" i="2"/>
  <c r="G31" i="2"/>
  <c r="G30" i="2"/>
  <c r="G29" i="2"/>
  <c r="G16" i="2"/>
  <c r="G15" i="2"/>
  <c r="G14" i="2"/>
  <c r="G19" i="2"/>
  <c r="G8" i="2"/>
  <c r="G7" i="2"/>
  <c r="G6" i="2"/>
  <c r="G5" i="2"/>
  <c r="G79" i="7"/>
  <c r="J79" i="7"/>
  <c r="G74" i="7"/>
  <c r="J74" i="7"/>
  <c r="G73" i="7"/>
  <c r="J73" i="7"/>
  <c r="G72" i="7"/>
  <c r="J72" i="7"/>
  <c r="G71" i="7"/>
  <c r="G47" i="7"/>
  <c r="G43" i="7"/>
  <c r="G41" i="7"/>
  <c r="G40" i="7"/>
  <c r="G39" i="7"/>
  <c r="G17" i="7"/>
  <c r="J17" i="7"/>
  <c r="G13" i="7"/>
  <c r="J13" i="7"/>
  <c r="G12" i="7"/>
  <c r="J12" i="7"/>
  <c r="G11" i="7"/>
  <c r="J11" i="7"/>
  <c r="G10" i="7"/>
  <c r="J10" i="7"/>
  <c r="G9" i="7"/>
  <c r="J9" i="7"/>
  <c r="B1" i="8"/>
  <c r="B1" i="5"/>
  <c r="J20" i="7"/>
  <c r="J65" i="7"/>
  <c r="K68" i="2"/>
  <c r="L68" i="2"/>
  <c r="J34" i="7"/>
  <c r="J97" i="7"/>
  <c r="E20" i="17"/>
  <c r="F20" i="17"/>
  <c r="J226" i="2"/>
  <c r="K226" i="2"/>
  <c r="L226" i="2"/>
  <c r="L112" i="2"/>
  <c r="N112" i="2"/>
  <c r="J207" i="2"/>
  <c r="H191" i="2"/>
  <c r="J191" i="2"/>
  <c r="J195" i="2"/>
  <c r="J194" i="2"/>
  <c r="J193" i="2"/>
  <c r="J192" i="2"/>
  <c r="J208" i="2"/>
  <c r="J209" i="2"/>
  <c r="J210" i="2"/>
  <c r="J211" i="2"/>
  <c r="J212" i="2"/>
  <c r="H215" i="2"/>
  <c r="J215" i="2"/>
  <c r="H216" i="2"/>
  <c r="J216" i="2"/>
  <c r="E16" i="17"/>
  <c r="F16" i="17"/>
  <c r="K34" i="7"/>
  <c r="E18" i="17"/>
  <c r="F18" i="17"/>
  <c r="K65" i="7"/>
  <c r="K207" i="2"/>
  <c r="L207" i="2"/>
  <c r="J214" i="2"/>
  <c r="J199" i="2"/>
  <c r="K199" i="2"/>
  <c r="L199" i="2"/>
  <c r="J179" i="2"/>
  <c r="H178" i="2"/>
  <c r="H174" i="2"/>
  <c r="J174" i="2"/>
  <c r="J177" i="2"/>
  <c r="J176" i="2"/>
  <c r="J175" i="2"/>
  <c r="H230" i="2"/>
  <c r="H228" i="2"/>
  <c r="H227" i="2"/>
  <c r="H218" i="2"/>
  <c r="K214" i="2"/>
  <c r="L214" i="2"/>
  <c r="J178" i="2"/>
  <c r="J183" i="2"/>
  <c r="K183" i="2"/>
  <c r="L183" i="2"/>
  <c r="J44" i="7"/>
  <c r="J45" i="7"/>
  <c r="J82" i="8"/>
  <c r="J81" i="8"/>
  <c r="J80" i="8"/>
  <c r="J79" i="8"/>
  <c r="J78" i="8"/>
  <c r="H83" i="8"/>
  <c r="J83" i="8"/>
  <c r="H84" i="8"/>
  <c r="J84" i="8"/>
  <c r="J85" i="8"/>
  <c r="J86" i="8"/>
  <c r="J21" i="8"/>
  <c r="J43" i="8"/>
  <c r="J44" i="8"/>
  <c r="J45" i="8"/>
  <c r="J46" i="8"/>
  <c r="J47" i="8"/>
  <c r="J48" i="8"/>
  <c r="J51" i="8"/>
  <c r="J52" i="8"/>
  <c r="J53" i="8"/>
  <c r="J17" i="8"/>
  <c r="J18" i="8"/>
  <c r="J19" i="8"/>
  <c r="J20" i="8"/>
  <c r="H6" i="8"/>
  <c r="J6" i="8"/>
  <c r="H7" i="8"/>
  <c r="J7" i="8"/>
  <c r="J8" i="8"/>
  <c r="H9" i="8"/>
  <c r="J9" i="8"/>
  <c r="J10" i="8"/>
  <c r="J11" i="8"/>
  <c r="J12" i="8"/>
  <c r="K13" i="8"/>
  <c r="H14" i="8"/>
  <c r="J14" i="8"/>
  <c r="H15" i="8"/>
  <c r="J15" i="8"/>
  <c r="J16" i="8"/>
  <c r="H22" i="8"/>
  <c r="J22" i="8"/>
  <c r="J23" i="8"/>
  <c r="J24" i="8"/>
  <c r="J25" i="8"/>
  <c r="H27" i="8"/>
  <c r="J27" i="8"/>
  <c r="H28" i="8"/>
  <c r="J28" i="8"/>
  <c r="H29" i="8"/>
  <c r="J29" i="8"/>
  <c r="J30" i="8"/>
  <c r="J31" i="8"/>
  <c r="H32" i="8"/>
  <c r="J32" i="8"/>
  <c r="H33" i="8"/>
  <c r="J33" i="8"/>
  <c r="J34" i="8"/>
  <c r="J36" i="8"/>
  <c r="H40" i="8"/>
  <c r="J40" i="8"/>
  <c r="H41" i="8"/>
  <c r="J41" i="8"/>
  <c r="H42" i="8"/>
  <c r="J42" i="8"/>
  <c r="H49" i="8"/>
  <c r="J49" i="8"/>
  <c r="H50" i="8"/>
  <c r="J50" i="8"/>
  <c r="H74" i="8"/>
  <c r="J74" i="8"/>
  <c r="H75" i="8"/>
  <c r="J75" i="8"/>
  <c r="H76" i="8"/>
  <c r="J76" i="8"/>
  <c r="J77" i="8"/>
  <c r="J87" i="8"/>
  <c r="H108" i="8"/>
  <c r="J108" i="8"/>
  <c r="H109" i="8"/>
  <c r="J109" i="8"/>
  <c r="H110" i="8"/>
  <c r="J110" i="8"/>
  <c r="H111" i="8"/>
  <c r="J111" i="8"/>
  <c r="H112" i="8"/>
  <c r="J112" i="8"/>
  <c r="H113" i="8"/>
  <c r="J113" i="8"/>
  <c r="H114" i="8"/>
  <c r="J114" i="8"/>
  <c r="J115" i="8"/>
  <c r="J116" i="8"/>
  <c r="J118" i="8"/>
  <c r="J122" i="8"/>
  <c r="H123" i="8"/>
  <c r="J123" i="8"/>
  <c r="H124" i="8"/>
  <c r="J124" i="8"/>
  <c r="H125" i="8"/>
  <c r="J125" i="8"/>
  <c r="H126" i="8"/>
  <c r="J126" i="8"/>
  <c r="H127" i="8"/>
  <c r="J127" i="8"/>
  <c r="H128" i="8"/>
  <c r="J128" i="8"/>
  <c r="J129" i="8"/>
  <c r="J130" i="8"/>
  <c r="J131" i="8"/>
  <c r="J133" i="8"/>
  <c r="J137" i="8"/>
  <c r="J138" i="8"/>
  <c r="J139" i="8"/>
  <c r="J142" i="8"/>
  <c r="J143" i="8"/>
  <c r="J144" i="8"/>
  <c r="L144" i="8"/>
  <c r="J37" i="8"/>
  <c r="K139" i="8"/>
  <c r="L139" i="8"/>
  <c r="E59" i="17"/>
  <c r="F59" i="17"/>
  <c r="J134" i="8"/>
  <c r="J119" i="8"/>
  <c r="E61" i="17"/>
  <c r="F61" i="17"/>
  <c r="J26" i="8"/>
  <c r="E54" i="17"/>
  <c r="F54" i="17"/>
  <c r="M103" i="8"/>
  <c r="J88" i="8"/>
  <c r="J54" i="8"/>
  <c r="E55" i="17"/>
  <c r="F55" i="17"/>
  <c r="H217" i="2"/>
  <c r="E60" i="17"/>
  <c r="F60" i="17"/>
  <c r="K134" i="8"/>
  <c r="L134" i="8"/>
  <c r="E62" i="17"/>
  <c r="F62" i="17"/>
  <c r="M86" i="8"/>
  <c r="E57" i="17"/>
  <c r="F57" i="17"/>
  <c r="J231" i="2"/>
  <c r="J230" i="2"/>
  <c r="H229" i="2"/>
  <c r="J228" i="2"/>
  <c r="J227" i="2"/>
  <c r="J217" i="2"/>
  <c r="J219" i="2"/>
  <c r="J218" i="2"/>
  <c r="H96" i="2"/>
  <c r="J96" i="2"/>
  <c r="H69" i="2"/>
  <c r="H168" i="2"/>
  <c r="J167" i="2"/>
  <c r="J166" i="2"/>
  <c r="J165" i="2"/>
  <c r="J164" i="2"/>
  <c r="H136" i="2"/>
  <c r="H147" i="2"/>
  <c r="H158" i="2"/>
  <c r="J158" i="2"/>
  <c r="J157" i="2"/>
  <c r="J156" i="2"/>
  <c r="J155" i="2"/>
  <c r="J187" i="2"/>
  <c r="J229" i="2"/>
  <c r="J232" i="2"/>
  <c r="J220" i="2"/>
  <c r="J168" i="2"/>
  <c r="K220" i="2"/>
  <c r="L220" i="2"/>
  <c r="K232" i="2"/>
  <c r="L232" i="2"/>
  <c r="J173" i="2"/>
  <c r="N173" i="2"/>
  <c r="J186" i="2"/>
  <c r="J185" i="2"/>
  <c r="H145" i="2"/>
  <c r="J145" i="2"/>
  <c r="H144" i="2"/>
  <c r="J144" i="2"/>
  <c r="H134" i="2"/>
  <c r="J134" i="2"/>
  <c r="H133" i="2"/>
  <c r="J133" i="2"/>
  <c r="J148" i="2"/>
  <c r="H146" i="2"/>
  <c r="J146" i="2"/>
  <c r="J143" i="2"/>
  <c r="J137" i="2"/>
  <c r="H135" i="2"/>
  <c r="J135" i="2"/>
  <c r="J132" i="2"/>
  <c r="J127" i="2"/>
  <c r="H97" i="2"/>
  <c r="H95" i="2"/>
  <c r="J95" i="2"/>
  <c r="J98" i="2"/>
  <c r="J92" i="2"/>
  <c r="J94" i="2"/>
  <c r="J93" i="2"/>
  <c r="J97" i="2"/>
  <c r="J52" i="2"/>
  <c r="J51" i="2"/>
  <c r="J49" i="2"/>
  <c r="J47" i="2"/>
  <c r="J46" i="2"/>
  <c r="J45" i="2"/>
  <c r="J78" i="2"/>
  <c r="H77" i="2"/>
  <c r="J77" i="2"/>
  <c r="J76" i="2"/>
  <c r="H73" i="2"/>
  <c r="J73" i="2"/>
  <c r="J72" i="2"/>
  <c r="J56" i="2"/>
  <c r="J59" i="2"/>
  <c r="J60" i="2"/>
  <c r="J55" i="2"/>
  <c r="J39" i="2"/>
  <c r="J41" i="2"/>
  <c r="J42" i="2"/>
  <c r="J43" i="2"/>
  <c r="J9" i="2"/>
  <c r="J17" i="2"/>
  <c r="H30" i="2"/>
  <c r="J30" i="2"/>
  <c r="J32" i="2"/>
  <c r="J33" i="2"/>
  <c r="J35" i="2"/>
  <c r="H31" i="2"/>
  <c r="J31" i="2"/>
  <c r="H29" i="2"/>
  <c r="J28" i="2"/>
  <c r="J19" i="2"/>
  <c r="H16" i="2"/>
  <c r="J16" i="2"/>
  <c r="H15" i="2"/>
  <c r="J15" i="2"/>
  <c r="H14" i="2"/>
  <c r="J14" i="2"/>
  <c r="H13" i="2"/>
  <c r="J13" i="2"/>
  <c r="J8" i="2"/>
  <c r="B1" i="2"/>
  <c r="H6" i="2"/>
  <c r="J47" i="7"/>
  <c r="J48" i="7"/>
  <c r="J49" i="7"/>
  <c r="J53" i="2"/>
  <c r="N53" i="2"/>
  <c r="K28" i="2"/>
  <c r="L28" i="2"/>
  <c r="N28" i="2"/>
  <c r="J79" i="2"/>
  <c r="K79" i="2"/>
  <c r="L79" i="2"/>
  <c r="J20" i="2"/>
  <c r="K20" i="2"/>
  <c r="L20" i="2"/>
  <c r="K173" i="2"/>
  <c r="L173" i="2"/>
  <c r="J136" i="2"/>
  <c r="J142" i="2"/>
  <c r="K142" i="2"/>
  <c r="L142" i="2"/>
  <c r="J147" i="2"/>
  <c r="J153" i="2"/>
  <c r="K153" i="2"/>
  <c r="L153" i="2"/>
  <c r="J101" i="2"/>
  <c r="J46" i="7"/>
  <c r="J71" i="7"/>
  <c r="J82" i="7"/>
  <c r="J43" i="7"/>
  <c r="J42" i="7"/>
  <c r="J41" i="7"/>
  <c r="J40" i="7"/>
  <c r="J39" i="7"/>
  <c r="E19" i="17"/>
  <c r="F19" i="17"/>
  <c r="E15" i="17"/>
  <c r="F15" i="17"/>
  <c r="K53" i="2"/>
  <c r="L53" i="2"/>
  <c r="J50" i="7"/>
  <c r="E17" i="17"/>
  <c r="F17" i="17"/>
  <c r="G64" i="5"/>
  <c r="J64" i="5"/>
  <c r="J264" i="2"/>
  <c r="F14" i="6"/>
  <c r="F36" i="6"/>
  <c r="F37" i="6"/>
  <c r="F15" i="6"/>
  <c r="J63" i="5"/>
  <c r="J84" i="5"/>
  <c r="J81" i="5"/>
  <c r="J85" i="5"/>
  <c r="J144" i="5"/>
  <c r="J142" i="5"/>
  <c r="J141" i="5"/>
  <c r="J77" i="5"/>
  <c r="J75" i="5"/>
  <c r="M287" i="2"/>
  <c r="J287" i="2"/>
  <c r="K287" i="2"/>
  <c r="L287" i="2"/>
  <c r="M282" i="2"/>
  <c r="K282" i="2"/>
  <c r="L282" i="2"/>
  <c r="M277" i="2"/>
  <c r="J277" i="2"/>
  <c r="K277" i="2"/>
  <c r="L277" i="2"/>
  <c r="M272" i="2"/>
  <c r="J272" i="2"/>
  <c r="K272" i="2"/>
  <c r="L272" i="2"/>
  <c r="J145" i="5"/>
  <c r="J78" i="5"/>
  <c r="J70" i="2"/>
  <c r="J69" i="2"/>
  <c r="J154" i="2"/>
  <c r="J163" i="2"/>
  <c r="J261" i="2"/>
  <c r="K261" i="2"/>
  <c r="L261" i="2"/>
  <c r="J267" i="2"/>
  <c r="K267" i="2"/>
  <c r="L267" i="2"/>
  <c r="M267" i="2"/>
  <c r="J103" i="5"/>
  <c r="J102" i="5"/>
  <c r="J101" i="5"/>
  <c r="J109" i="5"/>
  <c r="J108" i="5"/>
  <c r="J107" i="5"/>
  <c r="J116" i="5"/>
  <c r="J115" i="5"/>
  <c r="J114" i="5"/>
  <c r="J113" i="5"/>
  <c r="J130" i="5"/>
  <c r="J128" i="5"/>
  <c r="J127" i="5"/>
  <c r="J123" i="5"/>
  <c r="J122" i="5"/>
  <c r="J121" i="5"/>
  <c r="J120" i="5"/>
  <c r="J59" i="5"/>
  <c r="J58" i="5"/>
  <c r="J57" i="5"/>
  <c r="J56" i="5"/>
  <c r="J55" i="5"/>
  <c r="J54" i="5"/>
  <c r="J53" i="5"/>
  <c r="J52" i="5"/>
  <c r="J51" i="5"/>
  <c r="J37" i="5"/>
  <c r="J36" i="5"/>
  <c r="J35" i="5"/>
  <c r="J34" i="5"/>
  <c r="J33" i="5"/>
  <c r="J32" i="5"/>
  <c r="J31" i="5"/>
  <c r="J27" i="5"/>
  <c r="J26" i="5"/>
  <c r="J25" i="5"/>
  <c r="J24" i="5"/>
  <c r="J23" i="5"/>
  <c r="J22" i="5"/>
  <c r="J21" i="5"/>
  <c r="J20" i="5"/>
  <c r="J19" i="5"/>
  <c r="J18" i="5"/>
  <c r="J17" i="5"/>
  <c r="J13" i="5"/>
  <c r="J12" i="5"/>
  <c r="J11" i="5"/>
  <c r="J10" i="5"/>
  <c r="J9" i="5"/>
  <c r="J8" i="5"/>
  <c r="J7" i="5"/>
  <c r="J6" i="5"/>
  <c r="J5" i="5"/>
  <c r="J4" i="5"/>
  <c r="J28" i="5"/>
  <c r="J71" i="2"/>
  <c r="K71" i="2"/>
  <c r="L71" i="2"/>
  <c r="J14" i="5"/>
  <c r="J60" i="5"/>
  <c r="J117" i="5"/>
  <c r="J110" i="5"/>
  <c r="J124" i="5"/>
  <c r="J131" i="5"/>
  <c r="J104" i="5"/>
  <c r="J38" i="5"/>
  <c r="K163" i="2"/>
  <c r="L163" i="2"/>
  <c r="J54" i="2"/>
  <c r="J61" i="2"/>
  <c r="N61" i="2"/>
  <c r="K61" i="2"/>
  <c r="L61" i="2"/>
  <c r="J74" i="2"/>
  <c r="J11" i="2"/>
  <c r="J188" i="2"/>
  <c r="J184" i="2"/>
  <c r="J126" i="2"/>
  <c r="J125" i="2"/>
  <c r="J124" i="2"/>
  <c r="J40" i="2"/>
  <c r="J38" i="2"/>
  <c r="J29" i="2"/>
  <c r="J36" i="2"/>
  <c r="J7" i="2"/>
  <c r="J6" i="2"/>
  <c r="J5" i="2"/>
  <c r="J44" i="2"/>
  <c r="K44" i="2"/>
  <c r="L44" i="2"/>
  <c r="J190" i="2"/>
  <c r="K190" i="2"/>
  <c r="L190" i="2"/>
  <c r="J131" i="2"/>
  <c r="N131" i="2"/>
  <c r="K36" i="2"/>
  <c r="L36" i="2"/>
  <c r="J75" i="2"/>
  <c r="J12" i="2"/>
  <c r="N12" i="2"/>
  <c r="K131" i="2"/>
  <c r="L131" i="2"/>
  <c r="K75" i="2"/>
  <c r="L75" i="2"/>
  <c r="K12" i="2"/>
  <c r="L12" i="2"/>
  <c r="L101" i="2"/>
  <c r="E64" i="30"/>
  <c r="E65" i="3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الكاتب</author>
  </authors>
  <commentList>
    <comment ref="H13" authorId="0" shapeId="0" xr:uid="{00000000-0006-0000-0300-000001000000}">
      <text>
        <r>
          <rPr>
            <b/>
            <sz val="8"/>
            <color indexed="81"/>
            <rFont val="Tahoma"/>
            <family val="2"/>
          </rPr>
          <t>الكاتب:</t>
        </r>
        <r>
          <rPr>
            <sz val="8"/>
            <color indexed="81"/>
            <rFont val="Tahoma"/>
            <family val="2"/>
          </rPr>
          <t xml:space="preserve">
لحين تحديد كميات الحديد في الحصر</t>
        </r>
      </text>
    </comment>
    <comment ref="H43" authorId="0" shapeId="0" xr:uid="{00000000-0006-0000-0300-000002000000}">
      <text>
        <r>
          <rPr>
            <b/>
            <sz val="8"/>
            <color indexed="81"/>
            <rFont val="Tahoma"/>
            <family val="2"/>
          </rPr>
          <t>الكاتب:</t>
        </r>
        <r>
          <rPr>
            <sz val="8"/>
            <color indexed="81"/>
            <rFont val="Tahoma"/>
            <family val="2"/>
          </rPr>
          <t xml:space="preserve">
لحين تحديد كميات الحديد في الحصر</t>
        </r>
      </text>
    </comment>
    <comment ref="H58" authorId="0" shapeId="0" xr:uid="{00000000-0006-0000-0300-000003000000}">
      <text>
        <r>
          <rPr>
            <b/>
            <sz val="8"/>
            <color indexed="81"/>
            <rFont val="Tahoma"/>
            <family val="2"/>
          </rPr>
          <t>الكاتب:</t>
        </r>
        <r>
          <rPr>
            <sz val="8"/>
            <color indexed="81"/>
            <rFont val="Tahoma"/>
            <family val="2"/>
          </rPr>
          <t xml:space="preserve">
لحين تحديد كميات الحديد في الحصر</t>
        </r>
      </text>
    </comment>
    <comment ref="H75" authorId="0" shapeId="0" xr:uid="{00000000-0006-0000-0300-000004000000}">
      <text>
        <r>
          <rPr>
            <b/>
            <sz val="8"/>
            <color indexed="81"/>
            <rFont val="Tahoma"/>
            <family val="2"/>
          </rPr>
          <t>الكاتب:</t>
        </r>
        <r>
          <rPr>
            <sz val="8"/>
            <color indexed="81"/>
            <rFont val="Tahoma"/>
            <family val="2"/>
          </rPr>
          <t xml:space="preserve">
لحين تحديد كميات الحديد في الحصر</t>
        </r>
      </text>
    </comment>
    <comment ref="H90" authorId="0" shapeId="0" xr:uid="{00000000-0006-0000-0300-000005000000}">
      <text>
        <r>
          <rPr>
            <b/>
            <sz val="8"/>
            <color indexed="81"/>
            <rFont val="Tahoma"/>
            <family val="2"/>
          </rPr>
          <t>الكاتب:</t>
        </r>
        <r>
          <rPr>
            <sz val="8"/>
            <color indexed="81"/>
            <rFont val="Tahoma"/>
            <family val="2"/>
          </rPr>
          <t xml:space="preserve">
لحين تحديد كميات الحديد في الحصر</t>
        </r>
      </text>
    </comment>
    <comment ref="H107" authorId="0" shapeId="0" xr:uid="{00000000-0006-0000-0300-000006000000}">
      <text>
        <r>
          <rPr>
            <b/>
            <sz val="8"/>
            <color indexed="81"/>
            <rFont val="Tahoma"/>
            <family val="2"/>
          </rPr>
          <t>الكاتب:</t>
        </r>
        <r>
          <rPr>
            <sz val="8"/>
            <color indexed="81"/>
            <rFont val="Tahoma"/>
            <family val="2"/>
          </rPr>
          <t xml:space="preserve">
لحين تحديد كميات الحديد في الحصر</t>
        </r>
      </text>
    </comment>
    <comment ref="H121" authorId="0" shapeId="0" xr:uid="{00000000-0006-0000-0300-000007000000}">
      <text>
        <r>
          <rPr>
            <b/>
            <sz val="8"/>
            <color indexed="81"/>
            <rFont val="Tahoma"/>
            <family val="2"/>
          </rPr>
          <t>الكاتب:</t>
        </r>
        <r>
          <rPr>
            <sz val="8"/>
            <color indexed="81"/>
            <rFont val="Tahoma"/>
            <family val="2"/>
          </rPr>
          <t xml:space="preserve">
لحين تحديد كميات الحديد في الحصر</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الكاتب</author>
  </authors>
  <commentList>
    <comment ref="G6" authorId="0" shapeId="0" xr:uid="{00000000-0006-0000-0600-000001000000}">
      <text>
        <r>
          <rPr>
            <b/>
            <sz val="14"/>
            <color indexed="81"/>
            <rFont val="Tahoma"/>
            <family val="2"/>
          </rPr>
          <t>الكاتب:</t>
        </r>
        <r>
          <rPr>
            <sz val="14"/>
            <color indexed="81"/>
            <rFont val="Tahoma"/>
            <family val="2"/>
          </rPr>
          <t xml:space="preserve">
150</t>
        </r>
        <r>
          <rPr>
            <sz val="12"/>
            <color indexed="81"/>
            <rFont val="Tahoma"/>
            <family val="2"/>
          </rPr>
          <t xml:space="preserve"> كيلو / 820 ج سعر البرميل</t>
        </r>
      </text>
    </comment>
    <comment ref="G8" authorId="0" shapeId="0" xr:uid="{00000000-0006-0000-0600-000002000000}">
      <text>
        <r>
          <rPr>
            <b/>
            <sz val="12"/>
            <color indexed="81"/>
            <rFont val="Tahoma"/>
            <family val="2"/>
          </rPr>
          <t>الكاتب:</t>
        </r>
        <r>
          <rPr>
            <sz val="12"/>
            <color indexed="81"/>
            <rFont val="Tahoma"/>
            <family val="2"/>
          </rPr>
          <t xml:space="preserve">
اليومية 120 جنيه /50م2
</t>
        </r>
      </text>
    </comment>
    <comment ref="G12" authorId="0" shapeId="0" xr:uid="{00000000-0006-0000-0600-000003000000}">
      <text>
        <r>
          <rPr>
            <b/>
            <sz val="24"/>
            <color indexed="81"/>
            <rFont val="Tahoma"/>
            <family val="2"/>
          </rPr>
          <t>الكاتب:</t>
        </r>
        <r>
          <rPr>
            <sz val="24"/>
            <color indexed="81"/>
            <rFont val="Tahoma"/>
            <family val="2"/>
          </rPr>
          <t xml:space="preserve">
ينتج 8 م2</t>
        </r>
      </text>
    </comment>
    <comment ref="G14" authorId="0" shapeId="0" xr:uid="{00000000-0006-0000-0600-000004000000}">
      <text>
        <r>
          <rPr>
            <b/>
            <sz val="12"/>
            <color indexed="81"/>
            <rFont val="Tahoma"/>
            <family val="2"/>
          </rPr>
          <t>الكاتب:</t>
        </r>
        <r>
          <rPr>
            <sz val="12"/>
            <color indexed="81"/>
            <rFont val="Tahoma"/>
            <family val="2"/>
          </rPr>
          <t xml:space="preserve">
اليومية 60 جنيه /15 م2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الكاتب</author>
  </authors>
  <commentList>
    <comment ref="G258" authorId="0" shapeId="0" xr:uid="{00000000-0006-0000-1000-000001000000}">
      <text>
        <r>
          <rPr>
            <b/>
            <sz val="14"/>
            <color indexed="81"/>
            <rFont val="Tahoma"/>
            <family val="2"/>
          </rPr>
          <t>الكاتب:</t>
        </r>
        <r>
          <rPr>
            <sz val="14"/>
            <color indexed="81"/>
            <rFont val="Tahoma"/>
            <family val="2"/>
          </rPr>
          <t xml:space="preserve">
66</t>
        </r>
        <r>
          <rPr>
            <sz val="12"/>
            <color indexed="81"/>
            <rFont val="Tahoma"/>
            <family val="2"/>
          </rPr>
          <t xml:space="preserve"> كيلو / 270 ج سعر البرميل</t>
        </r>
      </text>
    </comment>
    <comment ref="G260" authorId="0" shapeId="0" xr:uid="{00000000-0006-0000-1000-000002000000}">
      <text>
        <r>
          <rPr>
            <b/>
            <sz val="12"/>
            <color indexed="81"/>
            <rFont val="Tahoma"/>
            <family val="2"/>
          </rPr>
          <t>الكاتب:</t>
        </r>
        <r>
          <rPr>
            <sz val="12"/>
            <color indexed="81"/>
            <rFont val="Tahoma"/>
            <family val="2"/>
          </rPr>
          <t xml:space="preserve">
اليومية 30 جنيه /50م2
</t>
        </r>
      </text>
    </comment>
    <comment ref="G269" authorId="0" shapeId="0" xr:uid="{00000000-0006-0000-1000-000003000000}">
      <text>
        <r>
          <rPr>
            <b/>
            <sz val="14"/>
            <color indexed="81"/>
            <rFont val="Tahoma"/>
            <family val="2"/>
          </rPr>
          <t>الكاتب:</t>
        </r>
        <r>
          <rPr>
            <sz val="14"/>
            <color indexed="81"/>
            <rFont val="Tahoma"/>
            <family val="2"/>
          </rPr>
          <t xml:space="preserve">
66</t>
        </r>
        <r>
          <rPr>
            <sz val="12"/>
            <color indexed="81"/>
            <rFont val="Tahoma"/>
            <family val="2"/>
          </rPr>
          <t xml:space="preserve"> كيلو / 270 ج سعر البرميل</t>
        </r>
      </text>
    </comment>
    <comment ref="G271" authorId="0" shapeId="0" xr:uid="{00000000-0006-0000-1000-000004000000}">
      <text>
        <r>
          <rPr>
            <b/>
            <sz val="12"/>
            <color indexed="81"/>
            <rFont val="Tahoma"/>
            <family val="2"/>
          </rPr>
          <t>الكاتب:</t>
        </r>
        <r>
          <rPr>
            <sz val="12"/>
            <color indexed="81"/>
            <rFont val="Tahoma"/>
            <family val="2"/>
          </rPr>
          <t xml:space="preserve">
يومية العامل 30 جنيه/40 م3</t>
        </r>
      </text>
    </comment>
    <comment ref="G274" authorId="0" shapeId="0" xr:uid="{00000000-0006-0000-1000-000005000000}">
      <text>
        <r>
          <rPr>
            <b/>
            <sz val="14"/>
            <color indexed="81"/>
            <rFont val="Tahoma"/>
            <family val="2"/>
          </rPr>
          <t>الكاتب:</t>
        </r>
        <r>
          <rPr>
            <sz val="14"/>
            <color indexed="81"/>
            <rFont val="Tahoma"/>
            <family val="2"/>
          </rPr>
          <t xml:space="preserve">
66</t>
        </r>
        <r>
          <rPr>
            <sz val="12"/>
            <color indexed="81"/>
            <rFont val="Tahoma"/>
            <family val="2"/>
          </rPr>
          <t xml:space="preserve"> كيلو / 270 ج سعر البرميل</t>
        </r>
      </text>
    </comment>
    <comment ref="G276" authorId="0" shapeId="0" xr:uid="{00000000-0006-0000-1000-000006000000}">
      <text>
        <r>
          <rPr>
            <b/>
            <sz val="12"/>
            <color indexed="81"/>
            <rFont val="Tahoma"/>
            <family val="2"/>
          </rPr>
          <t>الكاتب:</t>
        </r>
        <r>
          <rPr>
            <sz val="12"/>
            <color indexed="81"/>
            <rFont val="Tahoma"/>
            <family val="2"/>
          </rPr>
          <t xml:space="preserve">
يومية العامل 30 جنيه/40 م3</t>
        </r>
      </text>
    </comment>
    <comment ref="G279" authorId="0" shapeId="0" xr:uid="{00000000-0006-0000-1000-000007000000}">
      <text>
        <r>
          <rPr>
            <b/>
            <sz val="14"/>
            <color indexed="81"/>
            <rFont val="Tahoma"/>
            <family val="2"/>
          </rPr>
          <t>الكاتب:</t>
        </r>
        <r>
          <rPr>
            <sz val="14"/>
            <color indexed="81"/>
            <rFont val="Tahoma"/>
            <family val="2"/>
          </rPr>
          <t xml:space="preserve">
66</t>
        </r>
        <r>
          <rPr>
            <sz val="12"/>
            <color indexed="81"/>
            <rFont val="Tahoma"/>
            <family val="2"/>
          </rPr>
          <t xml:space="preserve"> كيلو / 270 ج سعر البرميل</t>
        </r>
      </text>
    </comment>
    <comment ref="G281" authorId="0" shapeId="0" xr:uid="{00000000-0006-0000-1000-000008000000}">
      <text>
        <r>
          <rPr>
            <b/>
            <sz val="12"/>
            <color indexed="81"/>
            <rFont val="Tahoma"/>
            <family val="2"/>
          </rPr>
          <t>الكاتب:</t>
        </r>
        <r>
          <rPr>
            <sz val="12"/>
            <color indexed="81"/>
            <rFont val="Tahoma"/>
            <family val="2"/>
          </rPr>
          <t xml:space="preserve">
يومية العامل 30 جنيه/40 م3</t>
        </r>
      </text>
    </comment>
    <comment ref="G284" authorId="0" shapeId="0" xr:uid="{00000000-0006-0000-1000-000009000000}">
      <text>
        <r>
          <rPr>
            <b/>
            <sz val="14"/>
            <color indexed="81"/>
            <rFont val="Tahoma"/>
            <family val="2"/>
          </rPr>
          <t>الكاتب:</t>
        </r>
        <r>
          <rPr>
            <sz val="14"/>
            <color indexed="81"/>
            <rFont val="Tahoma"/>
            <family val="2"/>
          </rPr>
          <t xml:space="preserve">
66</t>
        </r>
        <r>
          <rPr>
            <sz val="12"/>
            <color indexed="81"/>
            <rFont val="Tahoma"/>
            <family val="2"/>
          </rPr>
          <t xml:space="preserve"> كيلو / 270 ج سعر البرميل</t>
        </r>
      </text>
    </comment>
    <comment ref="G286" authorId="0" shapeId="0" xr:uid="{00000000-0006-0000-1000-00000A000000}">
      <text>
        <r>
          <rPr>
            <b/>
            <sz val="12"/>
            <color indexed="81"/>
            <rFont val="Tahoma"/>
            <family val="2"/>
          </rPr>
          <t>الكاتب:</t>
        </r>
        <r>
          <rPr>
            <sz val="12"/>
            <color indexed="81"/>
            <rFont val="Tahoma"/>
            <family val="2"/>
          </rPr>
          <t xml:space="preserve">
يومية العامل 30 جنيه/40 م3</t>
        </r>
      </text>
    </comment>
  </commentList>
</comments>
</file>

<file path=xl/sharedStrings.xml><?xml version="1.0" encoding="utf-8"?>
<sst xmlns="http://schemas.openxmlformats.org/spreadsheetml/2006/main" count="5149" uniqueCount="1687">
  <si>
    <t>م</t>
  </si>
  <si>
    <t>بيان الاعمال</t>
  </si>
  <si>
    <t>مصدر التكلفة</t>
  </si>
  <si>
    <t>الوحدة</t>
  </si>
  <si>
    <t>الفئة</t>
  </si>
  <si>
    <t>معدل الانتاج</t>
  </si>
  <si>
    <t>نسبة الهالك</t>
  </si>
  <si>
    <t>التكلفة</t>
  </si>
  <si>
    <t>سعر الفئة شامل الارباح</t>
  </si>
  <si>
    <t>اولا اعمال الحفر و الاحلال</t>
  </si>
  <si>
    <t>معدات</t>
  </si>
  <si>
    <t>مصنعيات</t>
  </si>
  <si>
    <t>م3</t>
  </si>
  <si>
    <t>اجمالى التكلفة</t>
  </si>
  <si>
    <t>مواد</t>
  </si>
  <si>
    <t>مياه</t>
  </si>
  <si>
    <t>اخرى</t>
  </si>
  <si>
    <t xml:space="preserve">بالمتر المكعب توريد و عمل خرسانة عادية </t>
  </si>
  <si>
    <t>اسمنت</t>
  </si>
  <si>
    <t>طن</t>
  </si>
  <si>
    <t xml:space="preserve">للاساسات بالقطاعات المبينة بالرسومات و </t>
  </si>
  <si>
    <t>رمل</t>
  </si>
  <si>
    <t>المواصفات الفنية على ان تكون نسب الخرسانة</t>
  </si>
  <si>
    <t>سن</t>
  </si>
  <si>
    <t xml:space="preserve">العادية المقترحة 8.م3 ركام+ 4. م3 رمل و لا </t>
  </si>
  <si>
    <t>يقل محتوى الأسمنت عن 250 كجم اسمنت على</t>
  </si>
  <si>
    <t xml:space="preserve">ان تعطى اجهاد كسر بعد 28 يوما لا يقل عن </t>
  </si>
  <si>
    <t>150 كجم /سم2</t>
  </si>
  <si>
    <t>تتكون من 8. م3 ركام + 4. م3 رمل + محتوى</t>
  </si>
  <si>
    <t xml:space="preserve">اسمنت لا يقل عن 250 كجم / م3 اسمنت </t>
  </si>
  <si>
    <t>بورتلاندى و بحيث أن المقاومة المميزة للخرسانة</t>
  </si>
  <si>
    <t>اجمالى التكلفة/ م3</t>
  </si>
  <si>
    <t>بالمتر المسطح توريد و تنفيذ لياسة اسمنتية  من</t>
  </si>
  <si>
    <t>بالمترالمكعب توريد و تنفيذ خرسانة مسلحة لزوم</t>
  </si>
  <si>
    <t xml:space="preserve">الأساسات و تشمل القواعد و الميد و طبقا </t>
  </si>
  <si>
    <t xml:space="preserve">للقطاعات الخرسانية و البند  يشمل </t>
  </si>
  <si>
    <t xml:space="preserve">حديد التسليح والخرسانة المقترحة تتكون من 8.  </t>
  </si>
  <si>
    <t>م3 سن+ 4. رمل محتوى اسمنت لا يقل عن 350كجم</t>
  </si>
  <si>
    <t>حديد تسليح</t>
  </si>
  <si>
    <t>لكل م3 اسمنت بورتلاندى عادى و الفئة تشمل</t>
  </si>
  <si>
    <t>نجارة + حداده + صب</t>
  </si>
  <si>
    <t>الدمك ميكانيكى و أعمال المعالجة اللازمة من رش</t>
  </si>
  <si>
    <t>مياه و خلافه على ان لا يقل اجهاد الكسر للمكعبات</t>
  </si>
  <si>
    <t>القياسية بعد 28 يوم عن 250 كجم/ سم2</t>
  </si>
  <si>
    <t>سلك رباط</t>
  </si>
  <si>
    <t>م2</t>
  </si>
  <si>
    <t>بالمتر المسطح مبانى طوب طفلى</t>
  </si>
  <si>
    <t>طوب</t>
  </si>
  <si>
    <t>الف</t>
  </si>
  <si>
    <t>كجم</t>
  </si>
  <si>
    <t>تشوين</t>
  </si>
  <si>
    <t>بناء</t>
  </si>
  <si>
    <t>بالمتر المكعب مبانى طوب طفلى</t>
  </si>
  <si>
    <t>جبس</t>
  </si>
  <si>
    <t>مبيض</t>
  </si>
  <si>
    <t>سقالات</t>
  </si>
  <si>
    <t>اسمنت ابيض</t>
  </si>
  <si>
    <t>دهان</t>
  </si>
  <si>
    <t>لتر</t>
  </si>
  <si>
    <t>م.ط</t>
  </si>
  <si>
    <t>تركيب</t>
  </si>
  <si>
    <t>سيراميك</t>
  </si>
  <si>
    <t>سنجابى</t>
  </si>
  <si>
    <t>م2/ عزل اساسات من وجهين</t>
  </si>
  <si>
    <t>بياض</t>
  </si>
  <si>
    <t>بالعدد / باب شقة حشو خشب موسكى 1*2.2</t>
  </si>
  <si>
    <t>الحلق</t>
  </si>
  <si>
    <t>الحلق 2"×6" البرور عرض 7 سم و سمك 1.25 سم</t>
  </si>
  <si>
    <t>الضلفة</t>
  </si>
  <si>
    <t>الاكسسوارات و المفصلات</t>
  </si>
  <si>
    <t>عدد</t>
  </si>
  <si>
    <t>البرور</t>
  </si>
  <si>
    <t xml:space="preserve">الدهان  شامل الاستر </t>
  </si>
  <si>
    <t>بالعدد</t>
  </si>
  <si>
    <t>التصنيع</t>
  </si>
  <si>
    <t>التركيب</t>
  </si>
  <si>
    <t>الحلق 2"×6" البرور عرض 7 سم</t>
  </si>
  <si>
    <t>القوائم</t>
  </si>
  <si>
    <t xml:space="preserve"> و سمك 1.25 سم القوائم و الرأس العلوية</t>
  </si>
  <si>
    <t>الرأس العلوية</t>
  </si>
  <si>
    <t xml:space="preserve"> 2"×4" الرأس السفلى 2"×6"</t>
  </si>
  <si>
    <t>لوح m.d.f</t>
  </si>
  <si>
    <t>الرأس السفلية</t>
  </si>
  <si>
    <t>المصنعية شاملة الدهان</t>
  </si>
  <si>
    <t xml:space="preserve">القوائم و الرأس العلوية و السفلية2"×4" </t>
  </si>
  <si>
    <t>الرأس العلوية و السفلية</t>
  </si>
  <si>
    <t>الشيش من خشب موسكى سمك 5. "مفرز</t>
  </si>
  <si>
    <t>الشيش من خشب موسكى سمك 5." مفرز</t>
  </si>
  <si>
    <t>الشيش قوائم من الموسكى 2*4"</t>
  </si>
  <si>
    <t>الشيش قوائم من موسكى</t>
  </si>
  <si>
    <t>الشيش الرأس العلوية و السفلية</t>
  </si>
  <si>
    <t>الشيش الرأس العلوية و السفلية 2*4"</t>
  </si>
  <si>
    <t>الدهان شاملة المواد</t>
  </si>
  <si>
    <t>بالعدد /باب بلكونة من الخشب الموسكى شيش اسكندرانى و سلك (2.2*1.4)</t>
  </si>
  <si>
    <t>الحلق
7.2م ×5بوصة×2بوصة</t>
  </si>
  <si>
    <t>الحلق 2"×5" البرور عرض 7 سم و سمك 1.25 سم</t>
  </si>
  <si>
    <t>مقطوعية</t>
  </si>
  <si>
    <t>بالعدد /شباك من الخشب الموسكى شيش اسكندرانى و سلك (1.3*1.2)</t>
  </si>
  <si>
    <t>مرحاض أفرنجى</t>
  </si>
  <si>
    <t>محبس زاوية</t>
  </si>
  <si>
    <t>جلبة بلاستيك 4"</t>
  </si>
  <si>
    <t>مشترك 1/2 بوصة</t>
  </si>
  <si>
    <t>لى مرن</t>
  </si>
  <si>
    <t>جلبة تطويل 1/2بوصة</t>
  </si>
  <si>
    <t>مواسير تغذية بولى بروبلين</t>
  </si>
  <si>
    <t>سليكون + اسمنت ابيض</t>
  </si>
  <si>
    <t>طقم تثبيت مسامير</t>
  </si>
  <si>
    <t>حوض بركبة</t>
  </si>
  <si>
    <t>خلاط حوض وجه</t>
  </si>
  <si>
    <t>سيفون نيكل 1.5 "</t>
  </si>
  <si>
    <t>مواسير صرف P.V.C</t>
  </si>
  <si>
    <t>خلاط دش</t>
  </si>
  <si>
    <t>بانيو</t>
  </si>
  <si>
    <t>سليكون + اسمنت + طوب</t>
  </si>
  <si>
    <t>بالعدد/ توريد وتركيب حوض مطبخ استنلسستيل والفئة تشمل جميع الاكسسوارات اللازمة من خلاطات ومحابس ونواكل وخلافه.</t>
  </si>
  <si>
    <t>حوض مطبخ</t>
  </si>
  <si>
    <t>خلاط حوض مطبخ</t>
  </si>
  <si>
    <t>زوايا حديد للتثبيت</t>
  </si>
  <si>
    <t>م.ط / مواسير 4" (P.V.C)</t>
  </si>
  <si>
    <t>سعر المتر الطولى</t>
  </si>
  <si>
    <t>قطع اضافية</t>
  </si>
  <si>
    <t>مصنعية فتح شنايش</t>
  </si>
  <si>
    <t>م . ط</t>
  </si>
  <si>
    <t>م.ط / مواسير 3" (P.V.C)</t>
  </si>
  <si>
    <t>م.ط / مواسير 25 مم بولى بروبلين</t>
  </si>
  <si>
    <t>غرفة تفتيش 60 * 60 سم × عمق 1 متر من الطوب الأسمنتى المصمتسمك طوبة مع عمل البياض اللازم من الداخل وعمل الميول ومحمل على الفئة توريد وتركيب غطاء من الزهر زنة 125 كجم</t>
  </si>
  <si>
    <t>حفر فى تربة عادية</t>
  </si>
  <si>
    <t>غطاء زهر</t>
  </si>
  <si>
    <t>يومية عامل</t>
  </si>
  <si>
    <t>نظافة قبل الصب</t>
  </si>
  <si>
    <t>24×11×6 سم</t>
  </si>
  <si>
    <t>الضلفة 2 بوصة</t>
  </si>
  <si>
    <t>اجمالى التكلفة/ م2 سمك 15 سم</t>
  </si>
  <si>
    <t>بالعدد / باب غرفة تجليد ابلاكاج 1*2.2</t>
  </si>
  <si>
    <t>لوح ابلاكاج</t>
  </si>
  <si>
    <t>بالعدد / باب غرفة تجليد ابلاكاج .9*2.2</t>
  </si>
  <si>
    <t>الالف</t>
  </si>
  <si>
    <t>مبيض شامل السقالات و سلك الشبك+ التشوين</t>
  </si>
  <si>
    <t>المدفونة</t>
  </si>
  <si>
    <t>م.ط / مواسير 2" (P.V.C)</t>
  </si>
  <si>
    <t>عزل</t>
  </si>
  <si>
    <t>بيتومين مؤكسد ساخن</t>
  </si>
  <si>
    <t>م2/ الوميتال قطاعات B.S عدل</t>
  </si>
  <si>
    <t>م2/ الوميتال قطاعات B.S دوران</t>
  </si>
  <si>
    <t>م2/ الوميتال عدل السعد</t>
  </si>
  <si>
    <t>توريد و تركيب</t>
  </si>
  <si>
    <t>الكامل ( المدفع)</t>
  </si>
  <si>
    <t>بالعدد / توريد و تركيب جاليتراب</t>
  </si>
  <si>
    <t>حفر + تركيب</t>
  </si>
  <si>
    <t>م.ط / مواسير 6" (P.V.C)</t>
  </si>
  <si>
    <t>مقط</t>
  </si>
  <si>
    <t>حفر+ ردم+احلال+رمل</t>
  </si>
  <si>
    <t>بالعدد / توريد و تركيب جرجورى</t>
  </si>
  <si>
    <t xml:space="preserve"> تركيب</t>
  </si>
  <si>
    <t>بالعدد / باب فيلا خشب زان 1.4</t>
  </si>
  <si>
    <t>توريد و تركيب شامل الدهان</t>
  </si>
  <si>
    <t>الاكسسسوارات</t>
  </si>
  <si>
    <t>بالعدد / باب فيلا خشب زان 1.2</t>
  </si>
  <si>
    <t>بالعدد / توريد و عمل مطبق مستدير قطر 1 م بعمق 2.15 م فى حالة عدم وجود البياض  و العزل</t>
  </si>
  <si>
    <t>1- م3/ خ.ع</t>
  </si>
  <si>
    <t>ارضية : 1.6*1.6*25.=.64 م3</t>
  </si>
  <si>
    <t>حوائط : 1.5*2*2.15* 25.  = 1.6125 م3</t>
  </si>
  <si>
    <t>1*2*2.15*25. =  1.08</t>
  </si>
  <si>
    <t>الاجمالى =</t>
  </si>
  <si>
    <t>3.33 م3 * 165.9 (مونة فقط )=552.86 جنيها</t>
  </si>
  <si>
    <t xml:space="preserve">5- الغطاء </t>
  </si>
  <si>
    <t xml:space="preserve">الدرج </t>
  </si>
  <si>
    <t xml:space="preserve">المصنعية = 600 جنيه </t>
  </si>
  <si>
    <t>الاجمالى  للتكلفة</t>
  </si>
  <si>
    <t>الاجمالى  للتكلفة بنسبة الربح</t>
  </si>
  <si>
    <t>بالعدد / توريد و عمل مطبق مستدير قطر 1 م بعمق 2.15 م فى حالة وجود بياض+عزل</t>
  </si>
  <si>
    <t>2- البياض</t>
  </si>
  <si>
    <t>4*2.15*6(مونة فقط) = 51.6 جنيها</t>
  </si>
  <si>
    <t>3- العزل الخارجى</t>
  </si>
  <si>
    <t>1.5*4*2.15*7 = 90.3 جنيها</t>
  </si>
  <si>
    <t>1*1*6مم*8كجم/مم =58 كجم*8جنيه/كجم=464جنيها</t>
  </si>
  <si>
    <t xml:space="preserve">1.1م.ط*3.56كجم*8جنيه/كجم=31.33*5درجات = 156.65جنيها </t>
  </si>
  <si>
    <t>نقل المخلفات</t>
  </si>
  <si>
    <t xml:space="preserve">عمالة للمعالجة </t>
  </si>
  <si>
    <t xml:space="preserve">وجة تحضيري </t>
  </si>
  <si>
    <t xml:space="preserve">سكينة اولي معجون </t>
  </si>
  <si>
    <t xml:space="preserve">سكينة ثانيةمعجون </t>
  </si>
  <si>
    <t>وجة بطانة</t>
  </si>
  <si>
    <t>وجة نهائي</t>
  </si>
  <si>
    <t>م2توريد وعمل طبقة عازلة من البوليستر المسلح</t>
  </si>
  <si>
    <t>علي طبقة من الانسوبرايمر</t>
  </si>
  <si>
    <t xml:space="preserve">اعمال التشطيبات </t>
  </si>
  <si>
    <t xml:space="preserve">لا تقل عن 150 كجم/ سم2 </t>
  </si>
  <si>
    <t>مصتعية الصب</t>
  </si>
  <si>
    <t>مصنعيه</t>
  </si>
  <si>
    <t>اجمالى التكلفة/ م2 سمك 2 سم</t>
  </si>
  <si>
    <t>نجارة وصب وهالك عدة</t>
  </si>
  <si>
    <t>24×11×6 سم دور ارضي</t>
  </si>
  <si>
    <t>هالك الواح بلطي وبراميل</t>
  </si>
  <si>
    <t>مقطوعيه</t>
  </si>
  <si>
    <t>بالمتر المسطح بياض التخشين الداخلى للحوائط</t>
  </si>
  <si>
    <t>معالجة+العماله</t>
  </si>
  <si>
    <t>م2/ بياض التخشين خارجي للواجهات</t>
  </si>
  <si>
    <t>مبيض شامل التشوين</t>
  </si>
  <si>
    <t>شد سقالات+هالك عده</t>
  </si>
  <si>
    <t>سافيتو</t>
  </si>
  <si>
    <t>م2/ بياض خارجي للواجهات بمادة السافيتو السيمون</t>
  </si>
  <si>
    <t>بالمتر المسطح بياض التخشين الداخلى للاسقف</t>
  </si>
  <si>
    <t>اولا : اعمال المباني</t>
  </si>
  <si>
    <t>ثانيا : أعمال البياض</t>
  </si>
  <si>
    <t>مبيض شامل السقالات+ التشوين</t>
  </si>
  <si>
    <t xml:space="preserve">      </t>
  </si>
  <si>
    <t>شكاره</t>
  </si>
  <si>
    <t>م2/ بلاط للارصفة ( اللاند سكيب ) 30×30</t>
  </si>
  <si>
    <t>م2/ بلاط سنجابى للاسطح 20×20</t>
  </si>
  <si>
    <t>م2/ سيراميك  ارضيات 30*30 حمامات رويال رينبو</t>
  </si>
  <si>
    <t>ثالثا : أعمال الدهانات</t>
  </si>
  <si>
    <t>وجة مبدئي</t>
  </si>
  <si>
    <t>م2/دهانات داخليه 2 سكينة معجون +  وجه بطانة +2تشطيب         دهانات سكيب</t>
  </si>
  <si>
    <t>رابعا : أعمال التكسيات للحوائط والارضيات</t>
  </si>
  <si>
    <t>توريد وتركيب الرخام</t>
  </si>
  <si>
    <t>م2/ سيراميك  حوائط للحمام 25×35 دريم دارك ابيض+ دارك بلو فرز أول</t>
  </si>
  <si>
    <t>م2/ سيراميك  حوائط للحمام 30×44 رويالسمارت بيج + براون فرز أول</t>
  </si>
  <si>
    <t xml:space="preserve">م.ط/ تركيب درج رخام جلالة فص 4 سم محمل عليه التلابس </t>
  </si>
  <si>
    <t>م2/ تركيب ترابيع رخام جلالة فص 2 سم 40×40</t>
  </si>
  <si>
    <t>حفر حفار باكيت</t>
  </si>
  <si>
    <t>حفر شاكوش</t>
  </si>
  <si>
    <t xml:space="preserve">بالمتر المكعب حفر فى تربة صخريه </t>
  </si>
  <si>
    <t xml:space="preserve"> الاسقف والكمرات  طبقا </t>
  </si>
  <si>
    <t>م .ط /تفتيح وعمل عراميس جبس</t>
  </si>
  <si>
    <t>بسكوت</t>
  </si>
  <si>
    <t>بالعدد / باب غرفة تجليد ابلاكاج 8.*2.2</t>
  </si>
  <si>
    <t>بالعدد / باب شقة حشو خشب موسكى 1.*2.2</t>
  </si>
  <si>
    <t>الحلق 2"×6" البرور عرض 7 سم و سمك 1.25 سم الضلفة 2 بوصة</t>
  </si>
  <si>
    <t>كانات</t>
  </si>
  <si>
    <t>مفصلات</t>
  </si>
  <si>
    <t>كالون باب</t>
  </si>
  <si>
    <t>مقبض باب</t>
  </si>
  <si>
    <t>تصف اكره</t>
  </si>
  <si>
    <t>اكرة باب غرفه</t>
  </si>
  <si>
    <t>مسمار</t>
  </si>
  <si>
    <t>اكرة باب حمام</t>
  </si>
  <si>
    <t>بالعدد/ توريد وتركيب مرحاض أفرنجى نوع ديورافيت ديكود ووالفئة تشمل جميع الاكسسوارات اللازمة من محابس ونواكل وخلافه.</t>
  </si>
  <si>
    <t>بالعدد/ توريد وتركيب حوض غسيل وجه بركبة نوع ديورافيت ديكو ووالفئة تشمل جميع الاكسسوارات اللازمة من خلاطات ومحابس ونواكل وخلافه.</t>
  </si>
  <si>
    <t>صرف خارجي</t>
  </si>
  <si>
    <t>بيبه</t>
  </si>
  <si>
    <t>وش بيبه نيكل</t>
  </si>
  <si>
    <t>بالمقطوعيه عمل كهرباء للنموذج الواحد</t>
  </si>
  <si>
    <t>سلك 2 مم</t>
  </si>
  <si>
    <t>سلك 4 مم</t>
  </si>
  <si>
    <t>سلك 16 مم</t>
  </si>
  <si>
    <t>سلك ايريال</t>
  </si>
  <si>
    <t>سلك تليفون</t>
  </si>
  <si>
    <t>سلك 10 مم</t>
  </si>
  <si>
    <t>لفة</t>
  </si>
  <si>
    <t>لوحة مفاتيح</t>
  </si>
  <si>
    <t>سلك 1.5 مم</t>
  </si>
  <si>
    <t>لفه فلكسبل</t>
  </si>
  <si>
    <t>لفه 16 مم</t>
  </si>
  <si>
    <t>دق و تركيب</t>
  </si>
  <si>
    <t>لقم ومفاتيح</t>
  </si>
  <si>
    <t>لوحة عداد ومشتمالتها</t>
  </si>
  <si>
    <t>بالمتر المسطح توريد و تنفيذ فرشه خرسانة ارضيات الدور الارضي</t>
  </si>
  <si>
    <t>العادية لزوم الارضيات بسمك 15 سم و الخرسانة</t>
  </si>
  <si>
    <t xml:space="preserve">مونة بربقة </t>
  </si>
  <si>
    <t xml:space="preserve"> المونه العادية لزوم الارضيات بسمك 2 سم   </t>
  </si>
  <si>
    <t>م.ط/ وزره سيراميك  كليوباترا</t>
  </si>
  <si>
    <t>م.ط/ وزره بلاط سنجابي للاسطح</t>
  </si>
  <si>
    <t>مياه للمعالجة</t>
  </si>
  <si>
    <t xml:space="preserve">اعمال النجارة </t>
  </si>
  <si>
    <t>فوق طبقة العزل والمونه تتكون  من</t>
  </si>
  <si>
    <t>الخامات</t>
  </si>
  <si>
    <t>الوحده</t>
  </si>
  <si>
    <t>رمل خرسانة</t>
  </si>
  <si>
    <t>رمل تشطيبات</t>
  </si>
  <si>
    <t>سن خرسانه</t>
  </si>
  <si>
    <t xml:space="preserve">اسمنت ابيض </t>
  </si>
  <si>
    <t>جبس سيناء</t>
  </si>
  <si>
    <t>جبس البلاح</t>
  </si>
  <si>
    <t>سا فيتو ابيض</t>
  </si>
  <si>
    <t>سافيتو سيمون</t>
  </si>
  <si>
    <t>بستله</t>
  </si>
  <si>
    <t>بستلة دهان داخلي سكيب 10 لتر</t>
  </si>
  <si>
    <t>شكارة معجون سكيب 18 كجم</t>
  </si>
  <si>
    <t>شكاره 18 كجم</t>
  </si>
  <si>
    <t>سيراميك حوائط 20×30 للمطابخ</t>
  </si>
  <si>
    <t>سيراميك حوائط 25×35 للحمامات</t>
  </si>
  <si>
    <t>بلاط سنجابي</t>
  </si>
  <si>
    <t xml:space="preserve">بلاط رصيف للاند سكيب </t>
  </si>
  <si>
    <t xml:space="preserve">م2 </t>
  </si>
  <si>
    <t>خشب موسكي</t>
  </si>
  <si>
    <t>اسعار الخامات</t>
  </si>
  <si>
    <t>سيراميك ارضيات 30×30</t>
  </si>
  <si>
    <t>سيراميك ارضيات 40×40</t>
  </si>
  <si>
    <t>حفر بواسطة اللودر</t>
  </si>
  <si>
    <t>في حالة استخدام الخرسانة الجاهزه</t>
  </si>
  <si>
    <t>خرسانة جاهزه</t>
  </si>
  <si>
    <t>خرسانة جاهزه مسلحه 250/سم2</t>
  </si>
  <si>
    <t>خرسانة جاهزه عاديه 150/سم2</t>
  </si>
  <si>
    <t>2"</t>
  </si>
  <si>
    <t>الارضي العادية لزوم الارضيات بسمك 15 سم و الخرسانة</t>
  </si>
  <si>
    <t>بالمتر المسطح توريد و تنفيذ فرشه خرسانة ارضيات الدور</t>
  </si>
  <si>
    <t>م.ط تركيب وزره رخام جلالة فص 2 بارتفاع 10سم</t>
  </si>
  <si>
    <t>بالمتر المكعب حفر فى تربة رملية بواسطة لودر</t>
  </si>
  <si>
    <t>تعتيق السيراميك</t>
  </si>
  <si>
    <t>تعتيق البلاط</t>
  </si>
  <si>
    <t xml:space="preserve">اسمنت لا يقل عن 200 كجم / م3 اسمنت </t>
  </si>
  <si>
    <t>م2/ بياض التخشين خارجي للاسقف</t>
  </si>
  <si>
    <t>م2/ بلاط مزايكو 30×30</t>
  </si>
  <si>
    <t>بلاط مزايكو</t>
  </si>
  <si>
    <t>مزايكو</t>
  </si>
  <si>
    <t>بلاط رصيف</t>
  </si>
  <si>
    <t>جلا</t>
  </si>
  <si>
    <t>دهان لاكيه</t>
  </si>
  <si>
    <t>دهان استر</t>
  </si>
  <si>
    <t>بالعدد/ توريد وتركيب بانيو70×70 نوع ديورافيت روما والفئة تشمل جميع الاكسسوارات اللازمة من خلاطات ومحابس ونواكل وخلافه.+ بيبه</t>
  </si>
  <si>
    <t>اسمنت+رمل</t>
  </si>
  <si>
    <t>م.ط / مواسير5" (P.V.C)</t>
  </si>
  <si>
    <t>م.ط / مواسير8" (P.V.C)</t>
  </si>
  <si>
    <t>بالعدد/ توريد وتركيب بانيو70×150 نوع ديورافيت روما والفئة تشمل جميع الاكسسوارات اللازمة من خلاطات ومحابس ونواكل وخلافه.</t>
  </si>
  <si>
    <t xml:space="preserve">بالعدد/ توريد وتركيب بيبه ارضيه والسعر يشمل الوش النيكل المحمل </t>
  </si>
  <si>
    <t xml:space="preserve"> اسمنت +رمل</t>
  </si>
  <si>
    <t>م2/ بياض طرطشة للمناور</t>
  </si>
  <si>
    <t>بودر</t>
  </si>
  <si>
    <t>جير</t>
  </si>
  <si>
    <t xml:space="preserve">بالمتر المكعب عمل تربة احلال </t>
  </si>
  <si>
    <t>زلط</t>
  </si>
  <si>
    <t xml:space="preserve">معدات </t>
  </si>
  <si>
    <t>زلط فاير</t>
  </si>
  <si>
    <t xml:space="preserve">بالمتر المسطح توريد و عمل خرسانة خفيفه لزوم ميول الأسطح بحيث لا يقل الميل عن10ملم / م مكونه من ثلاث أجزاء كسر طوب أحمر وجزئين رمل و150كجم أسمنت </t>
  </si>
  <si>
    <t>كسر طوب</t>
  </si>
  <si>
    <t xml:space="preserve"> الاسقف الهوردي  طبقا </t>
  </si>
  <si>
    <t>قطعه</t>
  </si>
  <si>
    <t>طوب هوردي 25×20×40</t>
  </si>
  <si>
    <t>بالمتراالمسطح توريد و تنفيذ خرسانة مسلحة لزوم</t>
  </si>
  <si>
    <t>تعتيق حديد+طوب</t>
  </si>
  <si>
    <t>اجمالى التكلفة/ م2</t>
  </si>
  <si>
    <t>لم يتم مراجعته</t>
  </si>
  <si>
    <t>4'</t>
  </si>
  <si>
    <t xml:space="preserve">اعمال الصحى </t>
  </si>
  <si>
    <t>طوب اسمنتي</t>
  </si>
  <si>
    <t>لوح MDF</t>
  </si>
  <si>
    <t>سيراميك  حوائط للحمام 30×44 رويال سمارت</t>
  </si>
  <si>
    <t>اسعار المصنعيات</t>
  </si>
  <si>
    <t>الاعمال</t>
  </si>
  <si>
    <t>العلاه لكل دور</t>
  </si>
  <si>
    <t>اعمال المحاره الداخليه</t>
  </si>
  <si>
    <t>اعمال المحاره الخارجيه</t>
  </si>
  <si>
    <t>ـــــ</t>
  </si>
  <si>
    <t>اعمال السقاله مصنعيات فقط شد+فك</t>
  </si>
  <si>
    <t>دهانات خارجيه</t>
  </si>
  <si>
    <t>دهانات داخليه</t>
  </si>
  <si>
    <t>مصنعيه دهان ابواب استر شامل الخامات</t>
  </si>
  <si>
    <t>مصنعيه دهان ابواب لاكيه بدون خامات</t>
  </si>
  <si>
    <t>صب خرسانه بالخلاطه لزوم دكة الارضي</t>
  </si>
  <si>
    <t>صب خرسانه جاهزه لزوم دكة الارضي</t>
  </si>
  <si>
    <t xml:space="preserve"> و طبقا لأصول الصناعة و المواصفات </t>
  </si>
  <si>
    <t>مصنعية عمل البربقه اعلى العزل</t>
  </si>
  <si>
    <t>صب خرسانه خفيفه لميول الاسطح</t>
  </si>
  <si>
    <t>اعمال خرسانه للاسقف الهوردي</t>
  </si>
  <si>
    <t>بالمتر المسطح مبانى طوب اسمنتي</t>
  </si>
  <si>
    <t>اعمال سافيتو للواجهات</t>
  </si>
  <si>
    <t>مصنعية عمل بياض طرطشه</t>
  </si>
  <si>
    <t>م2/دهانات خارجيه 2 سكينة معجون +  وجه بطانة +2تشطيب         دهانات سكيب</t>
  </si>
  <si>
    <t>مصنعية تركيب سيراميك للحوائط</t>
  </si>
  <si>
    <t>مصنعية تركيب سيراميك للا رضيات</t>
  </si>
  <si>
    <t>بالمتر الطولي تركيب وزره سيراميك</t>
  </si>
  <si>
    <t>مصنعية تركيب بلاط سنجابي للاسطح</t>
  </si>
  <si>
    <t>بالمتر الطولي تركيب وزره بلاط سنجابي للاسطح</t>
  </si>
  <si>
    <t>مصنعية تركيب بلاط مزايكو</t>
  </si>
  <si>
    <t>مصنعية تركيب بلاط للارصفه</t>
  </si>
  <si>
    <t>تصنيع باب غرفه</t>
  </si>
  <si>
    <t>تصنيع باب شقه</t>
  </si>
  <si>
    <t>تركيب باب شقه</t>
  </si>
  <si>
    <t>تركيب باب غرفه</t>
  </si>
  <si>
    <t>توريد وتركيب ترابيع رخام صني</t>
  </si>
  <si>
    <t>توريد وتركيب وزره رخام صني</t>
  </si>
  <si>
    <t>توريد وتركيب درج رخام صني</t>
  </si>
  <si>
    <t>توريد وتركيب وزره رخام جلاله</t>
  </si>
  <si>
    <t>توريد وتركيب درج رخام جلاله</t>
  </si>
  <si>
    <t>توريد وتركيب ترابيع رخام جلاله</t>
  </si>
  <si>
    <t>م2/ تركيب ترابيع رخام صني 2 سم 40×40</t>
  </si>
  <si>
    <t xml:space="preserve">م.ط/ تركيب درج رخام صني 4 سم محمل عليه التلابس </t>
  </si>
  <si>
    <t>م.ط تركيب وزره رخام صني 2سم  بارتفاع 10سم</t>
  </si>
  <si>
    <t>تركيب قاعدة حمام</t>
  </si>
  <si>
    <t>تركيب حوض مطبخ</t>
  </si>
  <si>
    <t>تركيب حوض وجه</t>
  </si>
  <si>
    <t>عمل وصلات صرف وتغذيه غسالة ملابس او اطباق</t>
  </si>
  <si>
    <t>تركيب بيبة صرف</t>
  </si>
  <si>
    <t xml:space="preserve">مصنعية تركيب جرجوري </t>
  </si>
  <si>
    <t>تركيب 1/2 مجرى صرف بدروم</t>
  </si>
  <si>
    <t>تركيب جلتراب</t>
  </si>
  <si>
    <t>تركيب مواسير صواعد 1"</t>
  </si>
  <si>
    <t>عمل وصلات تغذيه سخان</t>
  </si>
  <si>
    <t>تركيب محبس دفن بولي</t>
  </si>
  <si>
    <t>تركيب مواسير صواعد 2"</t>
  </si>
  <si>
    <t>تركيب مواسير صواعد 3/4"</t>
  </si>
  <si>
    <t>غرفة تفتيش 60×60</t>
  </si>
  <si>
    <t>غرفة محابس 60×60</t>
  </si>
  <si>
    <t>تركيب مواسير صرف 3"</t>
  </si>
  <si>
    <t>تركيب مواسير صرف 4"</t>
  </si>
  <si>
    <t>مواسير شبكات صرف شامل الحفر والردم 4"</t>
  </si>
  <si>
    <t>مواسير شبكات صرف شامل الحفر والردم 3"</t>
  </si>
  <si>
    <t>مواسير شبكات صرف شامل الحفر والردم 6"</t>
  </si>
  <si>
    <t>تركيب بانيو 70×70</t>
  </si>
  <si>
    <t>تركيب بانيو 70×150</t>
  </si>
  <si>
    <t>مواسير شبكات صرف شامل الحفر والردم 8"</t>
  </si>
  <si>
    <t>سعر</t>
  </si>
  <si>
    <t>خرسانة عاديه</t>
  </si>
  <si>
    <t>مباني ومونه وخرسانه</t>
  </si>
  <si>
    <t>قاعدة حمام</t>
  </si>
  <si>
    <t>حوض وجه</t>
  </si>
  <si>
    <t>بانيو 70×70</t>
  </si>
  <si>
    <t>بانيو 70×150</t>
  </si>
  <si>
    <t>جلتراب</t>
  </si>
  <si>
    <t>جرجوري</t>
  </si>
  <si>
    <t>بيبه صرف ارضيه</t>
  </si>
  <si>
    <t>وش بيبه</t>
  </si>
  <si>
    <t>محبس زاويه</t>
  </si>
  <si>
    <t>خلاط بانيو دش شامل المسطره</t>
  </si>
  <si>
    <t>مواسير بولي 20مم</t>
  </si>
  <si>
    <t>مواسير بولي 25مم</t>
  </si>
  <si>
    <t>مواسير بولي 32مم</t>
  </si>
  <si>
    <t>مواسير صرف 2" ابيض</t>
  </si>
  <si>
    <t>مواسير صرف 3" ابيض</t>
  </si>
  <si>
    <t>مواسير صرف 4" ابيض</t>
  </si>
  <si>
    <t>مواسير صرف 6" ابيض</t>
  </si>
  <si>
    <t>مواسير صرف 4" 10بار للشبكات</t>
  </si>
  <si>
    <t>مواسير صرف 6" 10 بار للشبكات</t>
  </si>
  <si>
    <t>مواسير صرف 5" 10 بار للشبكات</t>
  </si>
  <si>
    <t>مواسير صرف 8" 10 بار للشبكات</t>
  </si>
  <si>
    <t>م.ط / مواسير 20 مم بولى بروبلين</t>
  </si>
  <si>
    <t>مفصلة باب</t>
  </si>
  <si>
    <t>كالون باب غرفه</t>
  </si>
  <si>
    <t>كالون باب حمام</t>
  </si>
  <si>
    <t>كالون باب  شقه</t>
  </si>
  <si>
    <t>مقبض باب شقه خارجي</t>
  </si>
  <si>
    <t>نصف اكره باب شقه</t>
  </si>
  <si>
    <t>جلبة تطويل 1/2"</t>
  </si>
  <si>
    <t>مصنعية طرطشه</t>
  </si>
  <si>
    <t>شكاره 40كجم</t>
  </si>
  <si>
    <t>شكاره 40 كجم</t>
  </si>
  <si>
    <t xml:space="preserve">غطاء زهر 60×60 مير موكس  </t>
  </si>
  <si>
    <t xml:space="preserve">مصنعية عمل شمبران </t>
  </si>
  <si>
    <t>20×10×6 سم</t>
  </si>
  <si>
    <t>20×10×6 سم دور ارضي</t>
  </si>
  <si>
    <t xml:space="preserve">اعمال المباني بالتشوين </t>
  </si>
  <si>
    <t xml:space="preserve">نظافه ونحاته </t>
  </si>
  <si>
    <t>سلك</t>
  </si>
  <si>
    <t xml:space="preserve">م2/ توريد وتركيب سليط </t>
  </si>
  <si>
    <t xml:space="preserve">توريد وتركيب السليط </t>
  </si>
  <si>
    <t xml:space="preserve">سقايل </t>
  </si>
  <si>
    <t xml:space="preserve">م2/ سيراميك  حوائط </t>
  </si>
  <si>
    <t>م2/ سيراميك  ارضيات</t>
  </si>
  <si>
    <t xml:space="preserve">مادة </t>
  </si>
  <si>
    <t>م2/ بياض خارجي للواجهات بمادة دراى ميكس  الابيض</t>
  </si>
  <si>
    <t>دراى ميكس</t>
  </si>
  <si>
    <t xml:space="preserve">م2/دهانات داخليه 3سكينة معجون +  وجه بطانة +2تشطيب         دهانات بلاستيك </t>
  </si>
  <si>
    <t xml:space="preserve">سكينة ثالثه  معجون </t>
  </si>
  <si>
    <t>في حالة استخدام الخرسانة الجاهزه  العادية</t>
  </si>
  <si>
    <t>الخرسانة المسلحة للاساسات</t>
  </si>
  <si>
    <t>الخرسانة المسلحة للاعمدة</t>
  </si>
  <si>
    <t>الخرسانة المسلحة للاسقف و الكمرات</t>
  </si>
  <si>
    <t>Column1</t>
  </si>
  <si>
    <t>اجهاد 180</t>
  </si>
  <si>
    <t>م2/ سيراميك  حوائط  
 بمادة</t>
  </si>
  <si>
    <t>م2/ تركيب ترابيع فردى</t>
  </si>
  <si>
    <t>توريد وتركيب ترابيع رخام فردى</t>
  </si>
  <si>
    <t>جرانيت</t>
  </si>
  <si>
    <t>م ط</t>
  </si>
  <si>
    <t>سلك شبك</t>
  </si>
  <si>
    <t>طوب طفلي  25</t>
  </si>
  <si>
    <t>طوب طفلي  20</t>
  </si>
  <si>
    <t>الخرسانات</t>
  </si>
  <si>
    <t>خرسانة عادية</t>
  </si>
  <si>
    <t>خرسانة مسلحة</t>
  </si>
  <si>
    <t>الاساسات</t>
  </si>
  <si>
    <t>الاعمدة</t>
  </si>
  <si>
    <t>الاسقف</t>
  </si>
  <si>
    <t>التكلفة بدون مصاريف ادارية</t>
  </si>
  <si>
    <t>البند</t>
  </si>
  <si>
    <t>المبانى</t>
  </si>
  <si>
    <t>مبانى (م2)</t>
  </si>
  <si>
    <t>مبانى(م3)</t>
  </si>
  <si>
    <t>طوب طفلى  سمك 25 سم</t>
  </si>
  <si>
    <t>طوب طفلى  سمك 20 سم</t>
  </si>
  <si>
    <t>البياض</t>
  </si>
  <si>
    <t>البياض الداخلى</t>
  </si>
  <si>
    <t>الحوائط</t>
  </si>
  <si>
    <t>الدراى ميكس</t>
  </si>
  <si>
    <t>الدهانات</t>
  </si>
  <si>
    <t>دهانات سكيب</t>
  </si>
  <si>
    <t>دهانات بلاستيك</t>
  </si>
  <si>
    <t>السليط</t>
  </si>
  <si>
    <t>تكسيات سليط</t>
  </si>
  <si>
    <t>السيراميك</t>
  </si>
  <si>
    <t>وزر</t>
  </si>
  <si>
    <t>الرخام</t>
  </si>
  <si>
    <t>ترابيع</t>
  </si>
  <si>
    <t>جلالة</t>
  </si>
  <si>
    <t>فردى</t>
  </si>
  <si>
    <t>تحليل تكلفة البنود</t>
  </si>
  <si>
    <t>دكة عادية</t>
  </si>
  <si>
    <t>دكة ميول</t>
  </si>
  <si>
    <t xml:space="preserve">لياسة </t>
  </si>
  <si>
    <t>خرسانة عادية للاساسات (غير جاهزة)</t>
  </si>
  <si>
    <t>خرسانة عادية للاساسات(جاهزة)</t>
  </si>
  <si>
    <t xml:space="preserve"> اعمال الخرسانة المسلحة</t>
  </si>
  <si>
    <t>اساسات (خرسانة غير جاهزة)</t>
  </si>
  <si>
    <t xml:space="preserve"> اعمال الخرسانة العادية</t>
  </si>
  <si>
    <t>اساسات (خرسانة  جاهزة)</t>
  </si>
  <si>
    <t>الاعمدة (خرسانة غير جاهزة)</t>
  </si>
  <si>
    <t>الاعمدة (خرسانة  جاهزة)</t>
  </si>
  <si>
    <t>الاسقف و الكمرات</t>
  </si>
  <si>
    <t>الاسقف و الكمرات (خرسانة غير جاهزة)</t>
  </si>
  <si>
    <t>الاسقف و الكمرات (خرسانة  جاهزة)</t>
  </si>
  <si>
    <t xml:space="preserve">الهيكل ( الاعمدة ) و طبقا </t>
  </si>
  <si>
    <t>طوب طفلى 25 (م2)</t>
  </si>
  <si>
    <t>طوب طفلى 20 (م2)</t>
  </si>
  <si>
    <t>طوب طفلى 20(م3)</t>
  </si>
  <si>
    <t>طوب طفلى 25(م3)</t>
  </si>
  <si>
    <t xml:space="preserve"> أعمال الدهانات الداخلية</t>
  </si>
  <si>
    <t>اعمال السراميك</t>
  </si>
  <si>
    <t xml:space="preserve"> أعمال الرخام</t>
  </si>
  <si>
    <t>رخام صنى</t>
  </si>
  <si>
    <t>رخام جلالة</t>
  </si>
  <si>
    <t>رخام فردى</t>
  </si>
  <si>
    <t>اعمال دراى ميكس</t>
  </si>
  <si>
    <t>اعمال بياض خارجى</t>
  </si>
  <si>
    <t>اعمال بياض داخلى</t>
  </si>
  <si>
    <t>حفر و احلال</t>
  </si>
  <si>
    <t>رملية</t>
  </si>
  <si>
    <t>صخرية</t>
  </si>
  <si>
    <t>احلال</t>
  </si>
  <si>
    <t>عادية للاساسات (غير جاهزة)</t>
  </si>
  <si>
    <t>عادية للاساسات ( جاهزة)</t>
  </si>
  <si>
    <t>مونة بربقة</t>
  </si>
  <si>
    <t>الاساسات(غير جاهزة)</t>
  </si>
  <si>
    <t>الاساسات( جاهزة)</t>
  </si>
  <si>
    <t>الاعمدة (غير جاهزة)</t>
  </si>
  <si>
    <t>الاعمدة ( جاهزة)</t>
  </si>
  <si>
    <t>الاسقف و الكمرات (غير جاهزة)</t>
  </si>
  <si>
    <t>الاسقف و الكمرات ( جاهزة)</t>
  </si>
  <si>
    <t>طوب اسمنتى  سمك 25 سم</t>
  </si>
  <si>
    <t>مبانى(م2)</t>
  </si>
  <si>
    <t>مبانى (م3)</t>
  </si>
  <si>
    <t>حوائط بمادة  (سيراميك كيلوباترا)</t>
  </si>
  <si>
    <t>ارضيات  (سيراميك كيلوباترا)</t>
  </si>
  <si>
    <t>وزر  (سيراميك كيلوباترا)</t>
  </si>
  <si>
    <t>بلاط (سنجابى)</t>
  </si>
  <si>
    <t>وزر (سنجابى)</t>
  </si>
  <si>
    <t>بلاط (موزايكو)</t>
  </si>
  <si>
    <t>صنى</t>
  </si>
  <si>
    <t xml:space="preserve"> درج م.ط</t>
  </si>
  <si>
    <t xml:space="preserve">البياض الخارجى </t>
  </si>
  <si>
    <t xml:space="preserve"> واجهات</t>
  </si>
  <si>
    <t xml:space="preserve"> اسقف</t>
  </si>
  <si>
    <t>اعمال النجارة (باب و شباك)</t>
  </si>
  <si>
    <t>باب خشب موسكى (1*2.20)</t>
  </si>
  <si>
    <t>باب غرفة تجاليد ابلاكاج(.0.9*2.20) +دهان استر</t>
  </si>
  <si>
    <t>باب غرفة تجاليد ابلاكاج(.0.9*2.20) +دهان لاكيه</t>
  </si>
  <si>
    <t>باب غرفة تجاليد ابلاكاج(.0.8*2.20) +دهان استر</t>
  </si>
  <si>
    <t>باب غرفة تجاليد ابلاكاج(.0.8*2.20) +دهان لاكيه</t>
  </si>
  <si>
    <t>شباك خشب موسكى (1.3*1.20)</t>
  </si>
  <si>
    <t>شباك خشب موسكى (1.4*2.20)</t>
  </si>
  <si>
    <t>التكلفة شاملة مصاريف ادارية
+25%</t>
  </si>
  <si>
    <t>سمك الطوبة</t>
  </si>
  <si>
    <t>سمك المونة</t>
  </si>
  <si>
    <t>اجمالى</t>
  </si>
  <si>
    <t>طوبة</t>
  </si>
  <si>
    <t>سمك 25</t>
  </si>
  <si>
    <t>سمك 12</t>
  </si>
  <si>
    <t>25*12*6</t>
  </si>
  <si>
    <t>سمك 12 سم</t>
  </si>
  <si>
    <t>سمك 25 سم</t>
  </si>
  <si>
    <t>سمك 10 سم</t>
  </si>
  <si>
    <t>20*10*6</t>
  </si>
  <si>
    <t>40*20*25</t>
  </si>
  <si>
    <t>40*20*12</t>
  </si>
  <si>
    <t>سمك 20 سم</t>
  </si>
  <si>
    <r>
      <rPr>
        <b/>
        <sz val="24"/>
        <color rgb="FFFF0000"/>
        <rFont val="Traditional Arabic"/>
        <family val="1"/>
      </rPr>
      <t>150 كجم</t>
    </r>
    <r>
      <rPr>
        <b/>
        <sz val="20"/>
        <color theme="1"/>
        <rFont val="Traditional Arabic"/>
        <family val="1"/>
      </rPr>
      <t xml:space="preserve"> / م3اسمنت بورتلاندى </t>
    </r>
  </si>
  <si>
    <t>تحليل الاسعار</t>
  </si>
  <si>
    <t>ذ</t>
  </si>
  <si>
    <t>م2/ عزل اساسات من وجهين طبقة عازلة رأسية وأفقية و ذلك لزوم القواعد و الميد و رقاب الاعمدة و مبانى قصة الردم  أسفل منسوب الأرض من وجهين من البيتومين مؤكسد على البارد  على ان يتم الدهان طبقا لأصول الصناعة. كامل مما جميعه بالمتر المسطح</t>
  </si>
  <si>
    <t xml:space="preserve">بيتومين </t>
  </si>
  <si>
    <t>بيتومين علي البارد</t>
  </si>
  <si>
    <t xml:space="preserve">الفرش </t>
  </si>
  <si>
    <t xml:space="preserve">البند توريد خامات و تركيب </t>
  </si>
  <si>
    <t>بالم2 عزل ممبرين  لزوم السطح</t>
  </si>
  <si>
    <t xml:space="preserve">ممبرين </t>
  </si>
  <si>
    <t>بوتجاز</t>
  </si>
  <si>
    <t>اعمال عزل</t>
  </si>
  <si>
    <t>بيتومين  للاساسات</t>
  </si>
  <si>
    <t>ممبرين للسطح</t>
  </si>
  <si>
    <t>عزل حرارة للسطح الواح فوم + لياسة</t>
  </si>
  <si>
    <t>ش مينا</t>
  </si>
  <si>
    <t xml:space="preserve">عزل رطوبة من انسومات و بيتومين ساخن </t>
  </si>
  <si>
    <t>عمالة</t>
  </si>
  <si>
    <t>4 سائق</t>
  </si>
  <si>
    <t>4 مساعد</t>
  </si>
  <si>
    <t>لودر</t>
  </si>
  <si>
    <t>2 قلاب</t>
  </si>
  <si>
    <t>ساعة</t>
  </si>
  <si>
    <t>ب م3  حفر فى التربة</t>
  </si>
  <si>
    <t>السائق</t>
  </si>
  <si>
    <t>المساعد</t>
  </si>
  <si>
    <t>قلاب</t>
  </si>
  <si>
    <t>حفار</t>
  </si>
  <si>
    <t>اليومية</t>
  </si>
  <si>
    <t>الاجمالى</t>
  </si>
  <si>
    <t>1 سائق</t>
  </si>
  <si>
    <t>1 مساعد</t>
  </si>
  <si>
    <t>5عامل</t>
  </si>
  <si>
    <t>العامل</t>
  </si>
  <si>
    <t>خامات</t>
  </si>
  <si>
    <t>ردم حول الاساسات</t>
  </si>
  <si>
    <t xml:space="preserve">العامل يحفر 2 م3/يوم </t>
  </si>
  <si>
    <t xml:space="preserve">العامل يحفر 0.5 م3/يوم </t>
  </si>
  <si>
    <t>العامل يردم 4م3/يوم</t>
  </si>
  <si>
    <t>طن حديد يحتاج 4 كجم سلك رباط</t>
  </si>
  <si>
    <t>بيتومين  للارضية</t>
  </si>
  <si>
    <t>عزل رطوبة للسطح برايمر و لياسة و رقبةزجاجة</t>
  </si>
  <si>
    <t>1م2</t>
  </si>
  <si>
    <t>مونة الطوب</t>
  </si>
  <si>
    <t>مياه للغمر</t>
  </si>
  <si>
    <t>اجمالى التكلفة/ م2 سمك 10 سم</t>
  </si>
  <si>
    <t>الارضي العادية لزوم الارضيات بسمك 10 سم و الخرسانة</t>
  </si>
  <si>
    <t>م3 سن+ 4. رمل محتوى اسمنت لا يقل عن 400كجم</t>
  </si>
  <si>
    <t>توريد وتركيب القرميد</t>
  </si>
  <si>
    <t>م2/ توريد وتركيب قرميد</t>
  </si>
  <si>
    <t>اعمال القرميد</t>
  </si>
  <si>
    <t>25×12×6 سم دور ارضي</t>
  </si>
  <si>
    <t>العزل</t>
  </si>
  <si>
    <t>اسقف هوردى</t>
  </si>
  <si>
    <t>بالمتر المكعب توريد وعمل خرسانة مسلحة لزوم الأساسات [ قواعد منفصلة ] حسب الأبعاد الموضحة بالرسومات التنفيذية والخرسانة ذات محتوى أسمنتي لايقل عن 350 كجم أسمنت بورتلاندي عادي للمتر المكعب من الخرسانة وحديد التسليح طبقا للمبين بالرسومات الإنشائية مع الهزالميكانيكي جيدا وتسوية السطح العلوي ومعالجته و علي ان تحقق الخرسانة جهد لا يقل عن 250 كجم / سم2 والسعر يشمل كل ما يلزم لنهو العمل كاملا</t>
  </si>
  <si>
    <t>يشمل بند الاساسات قواعد منفصله القواعد والسملات والشدادات في حالة وجودها</t>
  </si>
  <si>
    <t>التكاليف المباشره :-</t>
  </si>
  <si>
    <t>نقوم بحساب كمية الحديد / م3 حسب تفريدة الحديد ( طريقة رص وتوزيع الحديد )</t>
  </si>
  <si>
    <t>وذلك بقسمة كمية الحديد / كمية الخرسانه المسلحة للقواعد وتشمل كمية الحديد الحديد المستخدم لاشارات الاعمدة حيث يتم تحميل كميته على القواعد</t>
  </si>
  <si>
    <t>وكذلك تشمل الحسابات كميات الحديد للسملات والشدادات وبادىء السلم وخلافه</t>
  </si>
  <si>
    <t>في المتوسط تكون كمية الحديد للأساسات قواعد منفصله من 75 - 85 كجم / م3 وتؤخذ في المتوسط 80 كجم / م3</t>
  </si>
  <si>
    <t>وبالتالى تكلفة حديد التسليح = 80 * 5.5 = 440 جم / م3</t>
  </si>
  <si>
    <t>تكلفة سلك الرباط = 5 جم / م3</t>
  </si>
  <si>
    <t>تكلفة الخرسانه المسلحة شامله الصب باستخدام البامب جهد 250 كجم / سم2 بمحتوى اسمنت 350 كجم / م3</t>
  </si>
  <si>
    <t>التكلفة في المتوسط بسعر اليوم = 330 جم / م3</t>
  </si>
  <si>
    <t>لو فرضنا اسناد اعمال النجارة والحدادة لمقاول باطن والسعر يشمل الشده الخشبيه ( العده )</t>
  </si>
  <si>
    <t>سيكون متوسط سعر المتر 170 جم / م3</t>
  </si>
  <si>
    <t>اعمال الفرمجه والهز = 4 جم / م3</t>
  </si>
  <si>
    <t>اعمال المعالجة للخرسانه لمدة اسبوع على الاقل = 5 جم / م3</t>
  </si>
  <si>
    <t>وبالتالى اجمالى التكلفة المباشره</t>
  </si>
  <si>
    <t>= 440 + 5+330+170 + 4+5 = 954 جم / م3</t>
  </si>
  <si>
    <t>التكلفة الغير مباشره وهامش الربح بنسبة 50 % = 954 *.5 = 477 جم / م3</t>
  </si>
  <si>
    <t>سعر المتر المكعب = 954 + 477 = 1431 جم / م3</t>
  </si>
  <si>
    <t>في حالة وجود عدة خشبيه لدى الشركة وتم اسناد اعمال الحدادة والنجاره بدون عدة لمقاول باطن ستكون تكلفة المصنعيات كالتالى</t>
  </si>
  <si>
    <t>- اعمال الحدادة للأساسات = 30 - 35 جم / م3</t>
  </si>
  <si>
    <t>- اعمال النجارة = 70 - 85 جم / م3</t>
  </si>
  <si>
    <t>- هالك الخشب يتم حسابه في المتوسط =15- 20 جم / م3</t>
  </si>
  <si>
    <t>وبالتالى ستكون تكلفة المتر المكعب = 30 + 80 + 20 = 130 جم / م3</t>
  </si>
  <si>
    <t>واذا ما قورن الفرق في التكاليف في حالة اسناد الاعمال لمقاول باطن بعده او بدون سيكون الفرق</t>
  </si>
  <si>
    <t>= 170- 130 = 40 جم / م3</t>
  </si>
  <si>
    <t>او ما يعادل كنسبة = 40 / 1430 * 100 = 2.8 % او ما يقل عن 3 % من سعر البند</t>
  </si>
  <si>
    <t>في حالة وجود نسب عاليه من الاملاح والكبريتات يستخدم اسمنت مقاوم للكبريتات وتكون صيغة البند</t>
  </si>
  <si>
    <t>بالمتر المكعب توريد وعمل خرسانة مسلحة لزوم الأساسات [ قواعد منفصلة ] حسب الأبعاد الموضحة بالرسومات التنفيذية والخرسانة ذات محتوى أسمنتي لايقل عن 350 كجم أسمنت بورتلاندي مقاوم للكبريتات للمتر المكعب من الخرسانة وحديد التسليح طبقا للمبين بالرسومات الإنشائية مع الهز الميكانيكي جيدا وتسوية السطح العلوي ومعالجته و علي ان تحقق الخرسانة جهد لا يقل عن 250 كجم / سم2 والسعر يشمل كل ما يلزم لنهو العمل كاملا</t>
  </si>
  <si>
    <t>نفس تكاليف البند السابق فقط سيزداد تكلفة منتج الخرسانه بنفس النسبه في زيادة سعر الاسمنت من اسمنت بورتلاندى عادى الى اسمنت مقاوم للكبريتات</t>
  </si>
  <si>
    <t>الفرق في السعر في حدود 50 جم / طن</t>
  </si>
  <si>
    <t>تكلفة الخرسانه ستزداد بقيمة 50 *7 / 20 = 17.5 جم / م3</t>
  </si>
  <si>
    <t>مما سيؤدى الى زيادة سعر البند في حدود 25 جم / م3</t>
  </si>
  <si>
    <t>سيكون السعر الاجمالى م3 = 1455 جم / م3</t>
  </si>
  <si>
    <t xml:space="preserve"> </t>
  </si>
  <si>
    <t>بالمتر المكعب توريد وعمل خرسانة مسلحة لزوم الأساسات [ قواعد شريطية ] حسب الأبعاد الموضحة بالرسومات التنفيذية والخرسانة ذات محتوى أسمنتي لايقل عن 350 كجم أسمنت بورتلاندي مقاوم للكبريتات للمتر المكعب من الخرسانة وحديد التسليح طبقا للمبين بالرسومات الإنشائية مع الهز الميكانيكي جيدا وتسوية السطح العلوي ومعالجته و علي ان تحقق الخرسانة جهد لا يقل عن 250 كجم / سم2 والسعر يشمل كل ما يلزم لنهو العمل كاملا</t>
  </si>
  <si>
    <t>نفس طريقة التحليل السابقه فقط متوسط كمية الحديد سيكون اعلى واسعار المصنعيات ستكون اقل</t>
  </si>
  <si>
    <t>- كمية الحديد في المتوسط ستكون في حدود 95 - 100 كجم / م3</t>
  </si>
  <si>
    <t>تكلفة حديد التسليح = 100 *55= 550 جم</t>
  </si>
  <si>
    <t>سيكون متوسط سعر المتر 120 جم / م3</t>
  </si>
  <si>
    <t>= 550 + 5+330+120 + 4+5 = 1014 جم / م3</t>
  </si>
  <si>
    <t>التكلفة الغير مباشره وهامش الربح بنسبة 50 % = 1014 *.5 = 507 جم / م3</t>
  </si>
  <si>
    <t>سعر المتر المكعب = 1014 + 507 = 1521 جم / م3</t>
  </si>
  <si>
    <t>بالمتر المكعب توريد وعمل خرسانة مسلحة لزوم الأساسات [ لبشه مسلحه ] حسب الأبعاد الموضحة بالرسومات والخرسانة ذات محتوى أسمنتي لايقل عن 350 كجم أسمنت بورتلاندي عادى للمتر المكعب من الخرسانة وحديد التسليح طبقا للمبين بالرسومات الإنشائية مع الهز الميكانيكي جيدا وتسوية السطح العلوي ومعالجته و علي ان تحقق الخرسانة جهد لا يقل عن 250 كجم / سم2 والسعر يشمل كل ما يلزم لنهو العمل كاملا</t>
  </si>
  <si>
    <t>- كمية الحديد في المتوسط ستكون في حدود 50 - 60 كجم / م3</t>
  </si>
  <si>
    <t>تكلفة حديد التسليح = 55 *5.5= 302 جم</t>
  </si>
  <si>
    <t>سيكون متوسط سعر المتر 100 جم / م3</t>
  </si>
  <si>
    <t>اعمال الفرمجه والهز = 3 جم / م3</t>
  </si>
  <si>
    <t>اعمال المعالجة للخرسانه لمدة اسبوع على الاقل = 4 جم / م3</t>
  </si>
  <si>
    <t>= 302 + 5+330+100 + 3+4 = 744 جم / م3</t>
  </si>
  <si>
    <t>التكلفة الغير مباشره وهامش الربح بنسبة 50 % = 744 *.5 = 372 جم / م3</t>
  </si>
  <si>
    <t>سعر المتر المكعب = 744 + 372 = 1116 جم / م3</t>
  </si>
  <si>
    <t>بالمتر المكعب توريد وعمل خرسانة مسلحة لزوم الحوائط السانده حسب الأبعاد الموضحة بالرسومات والخرسانة ذات محتوى أسمنتي لايقل عن 350 كجم أسمنت بورتلاندي عادى للمتر المكعب من الخرسانة وحديد التسليح طبقا للمبين بالرسومات الإنشائية مع الهز الميكانيكي جيدا وتسوية السطح العلوي ومعالجته و علي ان تحقق الخرسانة جهد لا يقل عن 250 كجم / سم2 والسعر يشمل كل ما يلزم لنهو العمل كاملا</t>
  </si>
  <si>
    <t>- كمية الحديد في المتوسط ستكون في حدود 100 - 110 كجم / م3</t>
  </si>
  <si>
    <t>تكلفة حديد التسليح = 105 *5.5= 577 جم</t>
  </si>
  <si>
    <t>اعمال الفرمجه والهز = 5 جم / م3</t>
  </si>
  <si>
    <t>= 577 + 5+330+170 + 5+5 = 1092 جم / م3</t>
  </si>
  <si>
    <t>التكلفة الغير مباشره وهامش الربح بنسبة 50 % = 1092 *.5 = 546 جم / م3</t>
  </si>
  <si>
    <t>سعر المتر المكعب = 1092 + 546 = 1638 جم / م3</t>
  </si>
  <si>
    <t>بالمتر الطولي توريد وعمل خوازيق ميكانيكي بالتفريغ من الخرسانة المسلحة بالأبعاد والأطوال والتسليح المبين باللوحات التنفيذية وخرسانة الخازوق ذات محتوي اسمنتي لا يقل عن 400كجم أسمنت بولاتلاندي عادي للمتر المكعب من الخرسانة وحديد التسليح طبقا للمبين بالرسومات الأنشائية مع الدمك الميكانيكي جيدا و المعالجة وعلي ان تحقق الخرسانة رتبة لا تقل عن 300 كجم/سم2 والسعر يشمل اجراء اختبار التحميل ويشمل كل ما يلزم حسب اصول الصناعه والمواصفات قطر 40 سم</t>
  </si>
  <si>
    <t>( مثال : خوازيق قطر 40 سم وباجمالى طول 20 م .. والتسليح 8 قطر 16 مم وبطول 12 م وكانات حلزونيه قطر 8 مم والمسافه البينيه 15 سم )</t>
  </si>
  <si>
    <t>كمية الحديد للخازوق الواحد = 8 ×12×1.58= 152 كجم</t>
  </si>
  <si>
    <t>كانات بقطر 8 مم بطريقة تقريبه = 35 كجم</t>
  </si>
  <si>
    <t>اجمالى الحديد = 152+35 = 187 كجم</t>
  </si>
  <si>
    <t>اجمالى كمية الخرسانه للخازوق الواحد = 3.14 * 0.2*0.2*20= 2.5 م3</t>
  </si>
  <si>
    <t>باضافه كمية 0.25 م3 هالك خرسانه بعد صب الخازوق</t>
  </si>
  <si>
    <t>اجمالى الخرسانه = 2.5 + 0.25= 2.75 م3</t>
  </si>
  <si>
    <t>حساب التكاليف المباشره :-</t>
  </si>
  <si>
    <t>كمية الحديد = 187 * 5.5 = 1028 جم</t>
  </si>
  <si>
    <t>مصنعيات الحديد شامل اللحام = 200 جم للخازوق الواحد</t>
  </si>
  <si>
    <t>تكلفة م3 خرسانه جهد 300 كجم / سم2 بمحتوى اسمنت لا يقل عن 400 كجم / م3 شامل اضافات مؤخرات الشك وشامل الصب باستخدام البامب  التكلفه = 400 جم / م3</t>
  </si>
  <si>
    <t>تكلفة الخازوق الواحد = 400 × 2.75 = 1100 جم</t>
  </si>
  <si>
    <t>اجمالى تكلفة الخازوق من الخامات والصب = 1028 +200+1100 = 2328 جم</t>
  </si>
  <si>
    <t>تكلفة المتر الطولى = 2328 / 20 = 116.4 جم / م . ط</t>
  </si>
  <si>
    <t>تكلفة المتر الطولى باستخدام ماكينة الخوازيق = 50 - 60 جم / م .ط ( حسب عدد الخوازيق )</t>
  </si>
  <si>
    <t>اجمالى التكلفة للمتر الطولى = 116.4 +55 = 171.4 جم</t>
  </si>
  <si>
    <t>التكلفة الغير مباشرة وهامش الربح بنسبة 50 % = 171.4*0.5= 85.7 جم / م.ط</t>
  </si>
  <si>
    <t>اجمالى السعر للمتر الطولى =171.4+ 85.7 = 257 جم / م.ط ( تقريبا )</t>
  </si>
  <si>
    <t>بالمتر المكعب توريد وعمل خرسانة مسلحة لزوم الاعمدة والحوائط حسب الأبعاد الموضحة بالرسومات والخرسانة ذات محتوى أسمنتي لايقل عن 350 كجم أسمنت بورتلاندي عادى للمتر المكعب من الخرسانة وحديد التسليح طبقا للمبين بالرسومات الإنشائية مع الهز الميكانيكي جيدا علي ان تحقق الخرسانة جهد لا يقل عن 250 كجم / سم2 والسعر يشمل كل ما يلزم لنهو العمل كاملا</t>
  </si>
  <si>
    <t>التكاليف المباشرة :-</t>
  </si>
  <si>
    <t>وفى هذا المثال ستتم الدراسه على كمية حديد 160 كجم / م3 لمنشأ يتكون من خمسة ادوار</t>
  </si>
  <si>
    <t>تكلفة حديد التسليح = 160 *5.5= 880 جم / م3</t>
  </si>
  <si>
    <t>تكلفة سلك الرباط = 8 جم / م3</t>
  </si>
  <si>
    <t>سيكون متوسط سعر المتر لاعمدة للدور الارضى = 170 جم / م3</t>
  </si>
  <si>
    <t>اضافة علاوه 10 جنية لكل دور تكون اجمالى العلاوة = 4 * 10 = 40 جم</t>
  </si>
  <si>
    <t>تكلفة الدور الاخير = 170 + 40 = 210 جم / م3</t>
  </si>
  <si>
    <t>متوسط التكلفة للمصنعيات كمتوسط للمبنى ككل = ( 170 + 210 ) / 2 = 190 جم / م3</t>
  </si>
  <si>
    <t>اعمال الفرمجه والهز = 10 جم / م3</t>
  </si>
  <si>
    <t>= 880 + 8+330+190 + 10+5 = 1423 جم / م3</t>
  </si>
  <si>
    <t>التكلفة الغير مباشره وهامش الربح بنسبة 50 % = 1423 *.5 = 711.5 جم / م3</t>
  </si>
  <si>
    <t>سعر المتر المكعب = 1423 + 711.5 = 2134.5 جم / م3 ( 2135 تقريبا )</t>
  </si>
  <si>
    <t>بالمتر المكعب توريد وعمل خرسانة مسلحة للهيكل الخرسانى لزوم البلاطات السوليد والسلالم حسب الأبعاد الموضحة بالرسومات والخرسانة ذات محتوى أسمنتي لايقل عن 350 كجم أسمنت بورتلاندي عادى للمتر المكعب من الخرسانة وحديد التسليح طبقا للمبين بالرسومات الإنشائية مع الهز الميكانيكي جيدا علي ان تحقق الخرسانة جهد لا يقل عن 250 كجم / سم2 والسعر يشمل كل ما يلزم لنهو العمل على الوجة الاكمل</t>
  </si>
  <si>
    <t>كمية حديد التسليح للاسقف السوليد تتراوح في المتوسط 100 كجم / م3</t>
  </si>
  <si>
    <t>وفى هذا المثال ستتم الدراسه على كمية حديد 100 كجم / م3 لمنشأ يتكون من خمسة ادوار</t>
  </si>
  <si>
    <t>تكلفة حديد التسليح = 100 *5.5= 550 جم / م3</t>
  </si>
  <si>
    <t>سيكون متوسط سعر المتر للدور الارضى = 170 جم / م3</t>
  </si>
  <si>
    <t>= 880 + 5+330+190 + 4+5 = 1084 جم / م3</t>
  </si>
  <si>
    <t>التكلفة الغير مباشره وهامش الربح بنسبة 50 % = 1423 *.5 = 542 جم / م3</t>
  </si>
  <si>
    <t>سعر المتر المكعب = 1084 + 542 = 1626 جم / م3</t>
  </si>
  <si>
    <t>بالمتر المسطح توريد و عمل خرسانة مسلحة للارضيات بسمك 15 سم وشبكتين حديد تسليح 6 قطر 12 مم فى الأتجاهين علوي وسفلي والخرسانه ذات جهد 250 كجم / سم2 على الا يقل محتوى الاسمنت عن 350 كجم / م3 مع الهز الميكانيكى جيدا وتسوية السطح العلوي ومعالجته وكل ما يلزم لنهو العمل على الوجه الاكمل</t>
  </si>
  <si>
    <t>كمية حديد التسليح للمتر المسطح = 24 * 0.888 = 21.3 كجم</t>
  </si>
  <si>
    <t>اضافة نسبة هالك 3 % = 21.3 * 0.03 = 0.7 كجم / م2</t>
  </si>
  <si>
    <t>اجمالى كمية الحديد = 22 كجم / م2</t>
  </si>
  <si>
    <t>تكلفة حديد التسليح = 22 *5.5= 121 جم / م2</t>
  </si>
  <si>
    <t>تكلفة سلك الرباط = 1 جم / م2</t>
  </si>
  <si>
    <t>التكلفة في المتوسط = 330 جم / م3</t>
  </si>
  <si>
    <t>تكلفة المتر المسطح = 330 * 0.15 = 49.5 جم / م2</t>
  </si>
  <si>
    <t>اعمال الحداده = 5 جم / م2</t>
  </si>
  <si>
    <t>فى المعتاد يتم صب طبقة خرسانة الارضيه تحددها اعمال المبانى اى بدون اعمال نجاره اما فى حالة الحالات التى تتطلب اعمال نجاره يتم حساب تكلفة المتر المسطح على حسب الحاله</t>
  </si>
  <si>
    <t>اعمال الفرمجه والهز تكلفة المتر المسطح =0.75 جم / م2</t>
  </si>
  <si>
    <t>اعمال المعالجة للخرسانه لمدة اسبوع على الاقل = 0.5 جم / م2</t>
  </si>
  <si>
    <t>= 121 + 1+49.5+5 + 0.75+0.5 = 177.75جنية / م2 تقريبا 178 جم / م2</t>
  </si>
  <si>
    <t>التكلفة الغير مباشره وهامش الربح بنسبة 50 % = 178 *.5 = 89 جم / م2</t>
  </si>
  <si>
    <t>سعر المتر المكعب = 178+ 89 = 267 جم / م2</t>
  </si>
  <si>
    <t>بالمتر المسطح توريد و عمل خرسانة مسلحة للبلاطات الممسوسه بسمك 15 سم مع تنفيذ شبكة من حديد التسليح 6 قطر 12 مم فى الأتجاهين والخرسانه ذات جهد 300 كجم /سم2 على الا يقل محتوى الاسمنت عن 400 كجم / م3 مع الهز الميكانيكى جيدا وتسوية السطح العلوي باستخدام الهليكوبتر مع استخدام hardener للسطح والتقطيع باستخدام المنشار فى الاتجاهين وكل ما يلزم لنهو العمل على الوجه الاكمل طبقا لاصول الصناعة والمواصفات</t>
  </si>
  <si>
    <t>يتم تنفيذ البند السابق بعمل شرائح باستخدام الكمر المعدنى بارتفاع 15 سم</t>
  </si>
  <si>
    <t>وبعرض لا يزيد عن 6 م وفى المعتاد يتم تنفيذه كل 4.05 م وذلك لسببين</t>
  </si>
  <si>
    <t>سهولة التنفيذ لاعمال التسويه للسطح والقد والفرمجه</t>
  </si>
  <si>
    <t>تقليل هالك الحديد حيث يتم تقطيع السيخ ( 12 م ) على ثلاثة اجزاء كل 4 م</t>
  </si>
  <si>
    <t xml:space="preserve">ويتم بعدها تقطيع البلاطات فى نفس الاتجاة كل 4.05 على نفس التقسيم للبلاطات </t>
  </si>
  <si>
    <t>وفى الاتجاة الاخر كل 4 او 5 او 6 م</t>
  </si>
  <si>
    <t>يتم الربط بين شرائح البلاطات باستخدام dowels بطول 65 مرة قطر السيخ المستخدام ويتم ذلك بتثبيت ذلك الحديد فى فتحات موجودة بالكمر المعدنى او يتم فتحها بالكمرات على حسب العدد</t>
  </si>
  <si>
    <t>كمية حديد التسليح للمتر المسطح = 12 * 0.888 = 10.65 كجم / م2</t>
  </si>
  <si>
    <t>حديد الربط بين البلاطات = ( 6*.6 *0.888 ) / 4 = 0.8 كجم / م2</t>
  </si>
  <si>
    <t>اضافة نسبة هالك 3 % = 11.45* 0.03 = 0.35 كجم / م2</t>
  </si>
  <si>
    <t>اجمالى كمية الحديد = 11.8 كجم / م2</t>
  </si>
  <si>
    <t>تكلفة حديد التسليح = 11.8 *5.5= 65 جم / م2</t>
  </si>
  <si>
    <t>تكلفة سلك الرباط = 0.5 جم / م2</t>
  </si>
  <si>
    <t>تكلفة الخرسانه المسلحة شامله الصب باستخدام البامب جهد 300 كجم / سم2 بمحتوى اسمنت 400 كجم / م3</t>
  </si>
  <si>
    <t>التكلفة في المتوسط = 370 جم / م3</t>
  </si>
  <si>
    <t>تكلفة المتر المسطح = 370 * 0.15 = 55.5 جم / م2</t>
  </si>
  <si>
    <t>اعمال الحداده = 2 جم / م2</t>
  </si>
  <si>
    <t>اعمال النجارة باستخدام الكمر المعدنى واعمال الفرمجة والتسويه والمس والتقطيع =10 جم /م2</t>
  </si>
  <si>
    <t>اعمال استخدام مصلبات السطح hardener معدل الاستهلاك متوسطه 4 كجم / م2</t>
  </si>
  <si>
    <t>سعر الطن فى المتوسط من 2400 جم / طن</t>
  </si>
  <si>
    <t>تكلفة المتر المسطح من مصلبات السطح = 4*2.4 = 9.6 جم / م2</t>
  </si>
  <si>
    <t>= 65 + 0.5+55.5+2 + 10+9.6+0.5 = 143 جم / م2</t>
  </si>
  <si>
    <t>التكلفة الغير مباشره وهامش الربح بنسبة 50 % = 143 *.5 = 71.5 جم / م2</t>
  </si>
  <si>
    <t>سعر المتر المكعب = 143+ 71.5 = 214.5 جم / م2</t>
  </si>
  <si>
    <t>بالمتر المكعب خرسانه مسلحة لبلاطات الاسقف الهوردى hollow block ذات الاعصاب في الاتجاهين والبلوكات مصنوعه من الفوم المفرغ سمك 20 سم وبغطاء من الخرسانه المسلحة سمك 7 سم حسب الابعاد الموضحة بالرسومات وبخرسانه لا يقل اجهادها عن 250 كجم / سم2 بعد 28 يوم وبمحتوى اسمنت لا يقل عن 350 كجم / م3 والسعر يشمل كل ما يلزم لنهو الاعمال على الوجه الاكمل حسب اصول الصناعه والمواصفات مما جميعه بالمتر المكعب</t>
  </si>
  <si>
    <t>كمية حديد التسليح للاسقف الهوردى تتراوح في المتوسط 120 كجم / م3 الى 130 كجم / م3</t>
  </si>
  <si>
    <t>وفى هذا المثال ستتم الدراسه على كمية حديد 125 كجم / م3</t>
  </si>
  <si>
    <t>تكلفة حديد التسليح = 125 *5.5= 687.5 جم / م3</t>
  </si>
  <si>
    <t>البلاطات عباره عن خرسانه مسلحه وبلوكات من الفوم يتم حساب نسبة الخرسانه الى نسبة البلوكات في كامل مسطح السقف وفى المعتاد تتراوح النسبة في المتوسط بنسبة 2/3 الى 1/ 3 خرسانه الى بلوكات على التوالى</t>
  </si>
  <si>
    <t>تكلفة المتر المكعب من بلاطة السقف من الخرسانه</t>
  </si>
  <si>
    <t>تكلفة م3 من بلاطات السقف = 330*2/3 = 220 جم / م3</t>
  </si>
  <si>
    <t>تكلفةالفوم للمتر المكعب الواحد من السقف</t>
  </si>
  <si>
    <t>سعر الفوم كمتوسط = 900 جم / م3</t>
  </si>
  <si>
    <t>تكلفة الفوم = 900 *1/3 = 300 جم / م3</t>
  </si>
  <si>
    <t>سيكون متوسط السعر= 250 جم / م3</t>
  </si>
  <si>
    <t>= 687.5 + 5+220+300+250 + 4+5 = 1471.5 جم / م3</t>
  </si>
  <si>
    <t>التكلفة الغير مباشره وهامش الربح بنسبة 50 % = 1471.5 *.5 = 735.25 جم / م3</t>
  </si>
  <si>
    <t>سعر المتر المكعب = 2207 جم / م3</t>
  </si>
  <si>
    <t xml:space="preserve">بالمتر المكعب توريد وعمل خرسانه مسلحة لبلاطات الاسقف البانلدبيم من النوع CONTINOUS PANELLED BEAM حسب الابعاد والتسليح الموضح بالرسومات وبخرسانه لا يقل اجهادها عن 300 كجم / سم2 بعد 28 يوم وبمحتوى اسمنت لا يقل عن400 كجم / م3 والسعر يشمل كل ما يلزم لنهو الاعمال على الوجه الاكمل حسب اصول الصناعه والمواصفات مما جميعه بالمتر المكعب </t>
  </si>
  <si>
    <t>- نسبة الحديد 140 كجم / م3</t>
  </si>
  <si>
    <t>- ارتفاع السقف 9 م</t>
  </si>
  <si>
    <t>- اجهاد الخرسانه = 300 كجم / سم2</t>
  </si>
  <si>
    <t>تكلفة حديد ا لتسليح = 140 *5.5= 770 جم / م3</t>
  </si>
  <si>
    <t>تكلفة الصب باجهاد 300 كجم / سم2 = 370 جم / م3</t>
  </si>
  <si>
    <t>تكلفة المصنعيات لاعمال الشدة بارتفاع 9 م واعمال الحداده مع ترك الشده لوقت يتراوح ما بين 20 الى 25 يوم حتى ميعاد الفك</t>
  </si>
  <si>
    <t>سيكون متوسط السعر= 400 جم / م3</t>
  </si>
  <si>
    <t>اعمال الفرمجه والهز = 6 جم / م3</t>
  </si>
  <si>
    <t>اعمال المعالجة للخرسانه لمدة اسبوع على الاقل = 10 جم / م3</t>
  </si>
  <si>
    <t>= 770 + 5+370+400 + 6+10 = 1561 جم / م3</t>
  </si>
  <si>
    <t>التكلفة الغير مباشره وهامش الربح بنسبة 50 % = 1561 *.5 = 780.5 جم / م3</t>
  </si>
  <si>
    <t>سعر المتر المكعب = 2341.5 جم / م3</t>
  </si>
  <si>
    <r>
      <t xml:space="preserve">بلاطة سقف الفلات سلاب solid flat slab </t>
    </r>
    <r>
      <rPr>
        <b/>
        <sz val="14"/>
        <color rgb="FF002060"/>
        <rFont val="Calibri"/>
        <family val="2"/>
        <scheme val="minor"/>
      </rPr>
      <t>سمك 20 سم و ابعاد 20*15 م = 20*15*0.20 = 60 م 3</t>
    </r>
  </si>
  <si>
    <t>الكمر الخارجى ( الداير ) بفرض كمر مقاس 20 * 60 سم</t>
  </si>
  <si>
    <t>كمية الخرسانه للكمر اسفل بلاطة السقف فقط = 0.2 *0.4*2* ( 20 +14.6)= 5.6 م3</t>
  </si>
  <si>
    <t>اجمالى كمية الخرسانه = 60+5.5 = 65.5</t>
  </si>
  <si>
    <t>تكلفة المتر المكعب :-</t>
  </si>
  <si>
    <t>كمية الحديد في المتوسط = 120 كجم / م3</t>
  </si>
  <si>
    <t>تكلفة الحديد = 120 *5.5 = 660 جم / م3</t>
  </si>
  <si>
    <t>تكلفة الخرسانه المسلحه جهد 275 كجم / سم2 شامله الصب بالبامب = 360 جم</t>
  </si>
  <si>
    <t>اعمال المصعنيات بالعده الخشبيه = 170 جم / م3</t>
  </si>
  <si>
    <t>تكلفة اعمال الفرمجة للخرسانه = 4 جم / م3</t>
  </si>
  <si>
    <t>تكلفة المعالجة للخرسانه لمدة اسبوع على الاقل = 5 جم / م3</t>
  </si>
  <si>
    <t>اجمالى التكلفة السابقه= 660+360+170 + 4+5 = 1194 جم / م3</t>
  </si>
  <si>
    <t>اضافه هامش ربح شامل المصروفات الاداريه 50 % = 1194* 0.50= 597</t>
  </si>
  <si>
    <t>اجمالى السعر للكتر المكعب =1194+597= 1791 جم</t>
  </si>
  <si>
    <t>حديد</t>
  </si>
  <si>
    <t>خرسانة</t>
  </si>
  <si>
    <t>فرمجة و هز</t>
  </si>
  <si>
    <t>معاجة الخرسانة</t>
  </si>
  <si>
    <t>اساسات منفصلة</t>
  </si>
  <si>
    <t>75-85 كجم/م3</t>
  </si>
  <si>
    <t>حدادة للاساسات</t>
  </si>
  <si>
    <t>نجارة</t>
  </si>
  <si>
    <t>هالك خشب</t>
  </si>
  <si>
    <t>30-35 جم/م3</t>
  </si>
  <si>
    <t>70-85 جم/م3</t>
  </si>
  <si>
    <t>نجارة و حدادة يخشب الشركة</t>
  </si>
  <si>
    <t>15-20 جم/م3</t>
  </si>
  <si>
    <t>يقل 3% عن السعر بالخشب</t>
  </si>
  <si>
    <t xml:space="preserve">قواعد شريطية </t>
  </si>
  <si>
    <t>95-100 كجم/م3</t>
  </si>
  <si>
    <t>لبشة مسلحة</t>
  </si>
  <si>
    <t>50-60 كجم/م3</t>
  </si>
  <si>
    <t>حوائط ساندة</t>
  </si>
  <si>
    <t>100-110 كجم/م3</t>
  </si>
  <si>
    <t xml:space="preserve">الاعمدة </t>
  </si>
  <si>
    <t>160كجم/م3</t>
  </si>
  <si>
    <t>سوليد سلاب+سلالم</t>
  </si>
  <si>
    <t>100كجم/م3</t>
  </si>
  <si>
    <t>120-130كجم/م3</t>
  </si>
  <si>
    <t>hollow block</t>
  </si>
  <si>
    <t>2/3</t>
  </si>
  <si>
    <t>1/3</t>
  </si>
  <si>
    <t>بلوكات</t>
  </si>
  <si>
    <t xml:space="preserve">الفوم </t>
  </si>
  <si>
    <t>900جم/م3</t>
  </si>
  <si>
    <t>140كجم/م3</t>
  </si>
  <si>
    <t>ارتفاع</t>
  </si>
  <si>
    <t>9متر</t>
  </si>
  <si>
    <t>فلات سلاب</t>
  </si>
  <si>
    <t>120كجم/م3</t>
  </si>
  <si>
    <t xml:space="preserve">continous panelled beam </t>
  </si>
  <si>
    <t>بالمتر المسطح توريد وعمل طبقة عازلة للرطوبه لزوم عزل الاساسات اعلى منسوب المياه الجوفيه</t>
  </si>
  <si>
    <r>
      <t>تتكون من طبقتين متعامدتين من البيتومين المؤكسد على ان تتم اعمال النظافة للسطح وتجهيزه قبل اعمال العزل وعمل كل ما يلزم مما جميعه بالمتر المسطح</t>
    </r>
    <r>
      <rPr>
        <b/>
        <sz val="14"/>
        <color rgb="FF7030A0"/>
        <rFont val="Arial"/>
        <family val="2"/>
      </rPr>
      <t xml:space="preserve"> </t>
    </r>
  </si>
  <si>
    <t>تكلفة المتر المسطح من خامات البيتومين المؤكسد على الساخن طبقتين = 8 جم / م2</t>
  </si>
  <si>
    <t>اسعار المصنعيات = 4 جم / م2</t>
  </si>
  <si>
    <t>اجمالى التكاليف المباشرة = 8+4 = 12 جم / م2</t>
  </si>
  <si>
    <t>التكاليف الغير مباشره وهامش الربح بنسبة 50 % = 12* 0.5= 6 جم / م2</t>
  </si>
  <si>
    <t>اجمالى السعر للمتر المسطح =12+ 6 =18 جم / م2</t>
  </si>
  <si>
    <t>بالمتر المسطح توريد وعمل طبقة عازلة للرطوبه لزوم مبانى قصة الردم اعلى منسوب المياه الجوفيه</t>
  </si>
  <si>
    <t>تتكون من 3 طبقات من البيتومين على البارد انتاج شركة انسومات او ما يماثلها على ان تتم اعمال النظافة للسطح وتجهيزه قبل اعمال العزل وعمل كل ما يلزم مما جميعه بالمتر المسطح</t>
  </si>
  <si>
    <t>تكلفة ملىء العراميس للمبانى ونظافتها وتجهيزها للسطح = 1 جم / م2</t>
  </si>
  <si>
    <t>تكلفة م2 من خامات البيتومين العادى ثلاث طبقات =5.5 جم / م2</t>
  </si>
  <si>
    <t>اسعار المصنعيات = 1.5 جم / م2</t>
  </si>
  <si>
    <t>اجمالى التكاليف المباشرة = 1+5.5+1.5 = 8 جم / م2</t>
  </si>
  <si>
    <t>التكاليف الغير مباشره وهامش الربح بنسبة 50 % = 8* 0.5= 4 جم / م2</t>
  </si>
  <si>
    <t>اجمالى السعر للمتر المسطح =8+ 4 =12 جم / م2</t>
  </si>
  <si>
    <t xml:space="preserve">بالمتر المسطح توريد و فرش طبقة عازلة للرطوبة لزوم الحمامات من مادة الانسوسيل ( 4مم ) من انتاج شركة انسومات او مايماثلها و طبقا لاصول الصناعة بحيث لا يقل ركوب اللحامات عن 10 سم مع عمل وزرة منها بداير الحوائط لا يقل ارتفاعها عن 20 سم فوق الارضية و يجب استدارة الزوايا و الاركان و تغطي الطبقة العازلة بطبقة لياسة أسمنتية سمك 2سم والقياس حسب المسقط الافقي بدون علاوة نظير الوزرات  مما جميعه بالمتر المسطح </t>
  </si>
  <si>
    <t>تكلفة تجهيز السطح وعمل المرمات واعمال اللياسه ان تطلب الامر = 4 جم / م2</t>
  </si>
  <si>
    <t>عمل رقبة زجاجه بالزوايا والاركان متوسط التكاليف = 2 جم / م2</t>
  </si>
  <si>
    <t>تكلفة رولات العزل ( من مادة الانسوسيل ) انتاج شركة انسومات</t>
  </si>
  <si>
    <t>سعر اللفه 160 جم ومقاساتها 1 م بطول 10 م .ط</t>
  </si>
  <si>
    <t>عمليا بعد عمل الركوب بين اللفات وعمل الوزرات اللفه الواحده تغطى 8 م 2 في المتوسط</t>
  </si>
  <si>
    <t>تكلفة المتر المسطح = 160 / 8 = 20 جم / م2</t>
  </si>
  <si>
    <t>تكلفة الطبقة الرابطة البيتومينيه ( سيروبلاست مثلا ) = 1 جم / م2</t>
  </si>
  <si>
    <t>تكلفة اعمال المصنعيات = 7 جم / م2</t>
  </si>
  <si>
    <t>طبقة اللياسة اعلى العزل بسمك من 2 الى 3 سم :-</t>
  </si>
  <si>
    <t>تكلفة الخامات = 6 جم / م2</t>
  </si>
  <si>
    <t>تكلفة المصنعيات = 7 جم / م2</t>
  </si>
  <si>
    <t>اجمالى التكاليف المباشرة . اجمالى ما سبق = 47 جم / م2</t>
  </si>
  <si>
    <t>التكاليف الغير مباشره وهامش الربح بنسبة 50 % = 47* 0.5= 23.5 جم / م2</t>
  </si>
  <si>
    <t>اجمالى السعر للمتر المسطح =47+ 23.5 =70.5 جم / م2</t>
  </si>
  <si>
    <r>
      <t>بالمتر المسطح توريد و تنفيذ طبقة عازلة لزوم الحمامات ذلك بإستخدام اللفائف Polyester reinforced membrane من انتاج بيتونيل سمك 3مم او ما يماثلها مع عمل تراكب فى الاتجاة الطولى و العرضى لا يقل عن 15سم والقياس للمسقط الافقى محمل عليه القياس للعزل الرأسى للوزرات حسب الأرتفاع اللازم المناسب والسعر محمل علية دهان طبقة برايمر علي اللياسة وكل ما يلزم لنهو الاعمال نهوا متقنا حسب المواصفات و اصول الصناعة وغير محمل على البند طبقات اللياسه اسفل واعلى العزل</t>
    </r>
    <r>
      <rPr>
        <b/>
        <sz val="14"/>
        <color rgb="FF7030A0"/>
        <rFont val="Calibri"/>
        <family val="2"/>
        <scheme val="minor"/>
      </rPr>
      <t xml:space="preserve"> </t>
    </r>
  </si>
  <si>
    <t>تكلفة رولات العزل المسلحه من انتاج شركة بيتونيل سمك 3 مم سعر اللفه 140 جم ومقاساتها 1 م بطول 10 م .ط</t>
  </si>
  <si>
    <t>تكلفة المتر المسطح = 140 / 8 = 17.5 جم / م2</t>
  </si>
  <si>
    <t>تكلفة الطبقة البرايمر = 1 جم / م2</t>
  </si>
  <si>
    <t>اجمالى التكاليف المباشرة . اجمالى ما سبق = 27.5 جم / م2</t>
  </si>
  <si>
    <t>التكاليف الغير مباشره وهامش الربح بنسبة 50 % = 27.5* 0.5= 13.75 جم / م2</t>
  </si>
  <si>
    <t>اجمالى السعر للمتر المسطح =27.5+ 13.75 =41.25 جم / م2</t>
  </si>
  <si>
    <r>
      <t>بالمتر المسطح توريد و فرش طبقة عازلة للرطوبة لزوم الاسطح من مادة الانسوسيل ( 4مم ) من انتاج شركة انسومات او مايماثلها و طبقا لاصول الصناعة بحيث لا يقل ركوب اللحامات عن 10 سم مع عمل وزرة منها بداير الحوائط لا يقل ارتفاعها عن 20 سم فوق الارضية و يجب استدارة الزوايا و الاركان و تغطي الطبقة العازلة بطبقة لياسة أسمنتية سمك 2سم والقياس حسب المسقط الافقي بدون علاوة نظير الوزرات مما جميعة بالمتر المسطح</t>
    </r>
    <r>
      <rPr>
        <b/>
        <sz val="14"/>
        <color rgb="FF7030A0"/>
        <rFont val="Calibri"/>
        <family val="2"/>
        <scheme val="minor"/>
      </rPr>
      <t xml:space="preserve"> </t>
    </r>
  </si>
  <si>
    <t>في حالة الاسطح حيث تزداد المساحة المفتوحة فتقل التكاليف</t>
  </si>
  <si>
    <t>تكلفة تجهيز السطح وعمل المرمات واعمال اللياسه ان تطلب الامر = 1.5 جم / م2</t>
  </si>
  <si>
    <t>عمل رقبة زجاجه بالزوايا والاركان متوسط التكاليف = 1 جم / م2</t>
  </si>
  <si>
    <t>تكلفة طبقة البرايمر = 1 جم / م2</t>
  </si>
  <si>
    <t>تكلفة اعمال المصنعيات = 4 جم / م2</t>
  </si>
  <si>
    <t>تكلفة المصنعيات = 5 جم / م2</t>
  </si>
  <si>
    <t>اجمالى التكاليف المباشرة . اجمالى ما سبق = 38.5 جم / م2</t>
  </si>
  <si>
    <t>التكاليف الغير مباشره وهامش الربح بنسبة 50 % = 38.5* 0.5= 19.25 جم / م2</t>
  </si>
  <si>
    <t>اجمالى السعر للمتر المسطح =38.5+ 19.25 =57.75 جم / م2 تقريبا</t>
  </si>
  <si>
    <r>
      <t>بالمتر المسطح توريد و فرش طبقة عازلة للرطوبة لزوم حوائط الخزان من الخارج من مادة الانسوسيل ( 4مم ) من انتاج شركة انسومات او مايماثلها و طبقا لاصول الصناعة بحيث لا يقل ركوب اللحامات عن 10 سم والقياس هندسى حسب القطاع الرأسى  مما جميعة بالمتر المسطح</t>
    </r>
    <r>
      <rPr>
        <b/>
        <sz val="14"/>
        <color rgb="FF7030A0"/>
        <rFont val="Calibri"/>
        <family val="2"/>
        <scheme val="minor"/>
      </rPr>
      <t xml:space="preserve"> </t>
    </r>
  </si>
  <si>
    <t>في حالة الحوائط الخرسانية تزداد تكلفة المصنعيات وتقل التكلفة الاجماليه نتيجة عدم تنفيذ طبقة لياسة اعلى العزل</t>
  </si>
  <si>
    <t>تكلفة اعمال المصنعيات = 6 جم / م2</t>
  </si>
  <si>
    <t>اجمالى التكاليف المباشرة . اجمالى ما سبق = 28.5 جم / م2</t>
  </si>
  <si>
    <t>التكاليف الغير مباشره وهامش الربح بنسبة 50 % = 28.5* 0.5= 14.25 جم / م2</t>
  </si>
  <si>
    <t>اجمالى السعر للمتر المسطح =28.5+ 14.25 =42.75 جم / م2 تقريبا</t>
  </si>
  <si>
    <t>بالمتر المسطح : توريد وعمل طبقة عازلة للرطوبة لزوم حوائط الخزان من الداخل وجهين من مادة االاديكور ام او ما يماثلها طبقا لاصول الصناعة والمواصفات والقياس هندسى مما جميعة بالمتر المسطح</t>
  </si>
  <si>
    <t>مادة الاديكور ام مادة عزل ذات اساس اسمنتى ومن مزاياها انها غير مضره بالماء تستخدم لعزل خزانات المياه من الداخل وكذلك عزل حمامات السباحة ومن الممكن استخدامها في معظم العناصر الانشائيه</t>
  </si>
  <si>
    <t>تكلفة تجهيز السطح وعمل المرمات اللازمه = 3 جم / م2</t>
  </si>
  <si>
    <t>تكلفة مادة الاديكور ام</t>
  </si>
  <si>
    <t>سعر الشيكارة 25 كجم 90 جم تقريبا وتغطى مساحة حوالى من 4 الى 5 م2 لوجهين</t>
  </si>
  <si>
    <t>تكلفة المتر المسطح = 90 / 4.5= 20 جم / م2</t>
  </si>
  <si>
    <t>تكلفة اعمال المصنعيات = 8 جم / م2</t>
  </si>
  <si>
    <t>اجمالى التكاليف المباشرة . اجمالى ما سبق = 31 جم / م2</t>
  </si>
  <si>
    <t>التكاليف الغير مباشره وهامش الربح بنسبة 50 % = 31* 0.5= 15.5 جم / م2</t>
  </si>
  <si>
    <t>اجمالى السعر للمتر المسطح =31+ 15.5=46.5 جم / م2 تقريبا</t>
  </si>
  <si>
    <r>
      <t>تتكون من طبقتين متعامدتين من البيتومين المؤكسد على ان تتم اعمال النظافة للسطح وتجهيزه قبل اعمال العزل وعمل كل ما يلزم مما جميعه بالمتر المسطح</t>
    </r>
    <r>
      <rPr>
        <b/>
        <sz val="20"/>
        <color rgb="FF7030A0"/>
        <rFont val="Calibri"/>
        <family val="2"/>
        <scheme val="minor"/>
      </rPr>
      <t xml:space="preserve"> </t>
    </r>
  </si>
  <si>
    <t>مصنعية</t>
  </si>
  <si>
    <t>بيتومين مؤكسد
طبقتين</t>
  </si>
  <si>
    <t>بينومين عادى 
3 طبقات</t>
  </si>
  <si>
    <t>ملىء العراميس و نظافتها و تجهيزها للسطح</t>
  </si>
  <si>
    <t>توريد و فرش طبقة عازلة للرطوبة لزوم الحمامات من مادة الانسوسيل ( 4مم )</t>
  </si>
  <si>
    <t>تجهيز السطح وعمل المرمات واعمال اللياسه ان تطلب الامر</t>
  </si>
  <si>
    <t xml:space="preserve">رقبة زجاجه بالزوايا والاركان متوسط التكاليف </t>
  </si>
  <si>
    <t>لفة الانسوسيل</t>
  </si>
  <si>
    <t>الطبقة الرابطة البيتومينيه ( سيروبلاست مثلا )</t>
  </si>
  <si>
    <t>لياسة اعلى العزل من 2-3 سم</t>
  </si>
  <si>
    <t>بالمتر المسطح توريد و تنفيذ طبقة عازلة لزوم الحمامات ذلك بإستخدام اللفائف Polyester reinforced membrane من انتاج بيتونيل سمك 3مم او ما يماثلها مع عمل تراكب فى الاتجاة الطولى و العرضى لا يقل عن 15سم والقياس للمسقط الافقى محمل عليه القياس للعزل الرأسى للوزرات حسب الأرتفاع اللازم المناسب والسعر محمل علية دهان طبقة برايمر علي اللياسة وكل ما يلزم لنهو الاعمال نهوا متقنا حسب المواصفات و اصول الصناعة وغير محمل على البند طبقات اللياسه اسفل واعلى العزل</t>
  </si>
  <si>
    <t>توريد و تنفيذ طبقة عازلة لزوم الحمامات ذلك بإستخدام اللفائف Polyester reinforced membrane من انتاج بيتونيل سمك 3مم</t>
  </si>
  <si>
    <t xml:space="preserve">عمل رقبة زجاجه بالزوايا والاركان متوسط التكاليف </t>
  </si>
  <si>
    <t xml:space="preserve">رولات العزل المسلحه من انتاج شركة بيتونيل سمك 3 مم </t>
  </si>
  <si>
    <t xml:space="preserve">تكلفة الطبقة البرايمر </t>
  </si>
  <si>
    <t>المتر المسطح توريد و فرش طبقة عازلة للرطوبة لزوم الاسطح من مادة الانسوسيل ( 4مم)</t>
  </si>
  <si>
    <t xml:space="preserve">تجهيز السطح وعمل المرمات واعمال اللياسه ان تطلب الامر </t>
  </si>
  <si>
    <t>م3 حفر صخر = 55 جم / م3 غير شامل نقل المخلفات</t>
  </si>
  <si>
    <t>م3 حفر رمال = 6 جم حفر فقط بدون نقل المخلفات يضاف في المتوسط من 5 الى 6 جم / م3 نقل مخلفات على حسب مسافة النقل للمقالب والوقت المستغرق لكل نقله</t>
  </si>
  <si>
    <t>م3 ردم رمال نظيفة من خارج الموقع = 18- 20 جم اذا كان سعر التوريد للمتر المكعب من الرمال 12 جم</t>
  </si>
  <si>
    <t>م2 عزل اساسات</t>
  </si>
  <si>
    <t>عزل بيتومين عادى على البارد 6 جم / م2</t>
  </si>
  <si>
    <t>عزل بيتومين مؤكسد 10 - 12 جم / م2</t>
  </si>
  <si>
    <t>عزل بيتومين مؤكسد : عادى بنسبة 1:3 = 8 - 9 جم / م2</t>
  </si>
  <si>
    <t xml:space="preserve">م3 خرسانة عادية  </t>
  </si>
  <si>
    <t>قواعد منفصله = 320 الى 350 جم / م3 جهد خرسانه 200 كجم / سم2</t>
  </si>
  <si>
    <t>لبشه = 250 الى 270 جم / م3 جهد الخرسانه 200 كجم / سم2</t>
  </si>
  <si>
    <t>م3 خرسانة مسلحة</t>
  </si>
  <si>
    <t>الاساسات ( 80 كجم حديد / م3 في المتوسط ) = 930 - 950 جم / م3</t>
  </si>
  <si>
    <t>اعمدة ( 160 كجم حديد / م3 في المتوسط ) = 1450 - 1500 جم / م3</t>
  </si>
  <si>
    <t>اسقف ( 100 كجم حديد / م3 في المتوسط ) = 1100 - 1150 جم / م3</t>
  </si>
  <si>
    <t xml:space="preserve">م2 مبانى  </t>
  </si>
  <si>
    <t>سمك 10 سم 45 جم / م2</t>
  </si>
  <si>
    <t>سمك 12 سم 50 - 55 جم / م2</t>
  </si>
  <si>
    <t>مبانى م3 : - 380 - 420 جم / م3</t>
  </si>
  <si>
    <t>مواصفات بؤج فقط = 25 جم / م2</t>
  </si>
  <si>
    <t>مواصفات بؤج واوتار = 30 جم / م2</t>
  </si>
  <si>
    <t>مواصفات تركيب زوايا فليسبيكو بالاضافه الى التأكيس والزوى والتربيع 40 جم / م2</t>
  </si>
  <si>
    <t xml:space="preserve">م2 دهانات  </t>
  </si>
  <si>
    <t>دهانات بلاستيك لون ابيض سكيب او سايبس = 16 جم / م2</t>
  </si>
  <si>
    <t>دهانات بلاستيك الوان سكيب او سكيب = 18 جم / م2</t>
  </si>
  <si>
    <t>دهانات جوتن حسب اللون المطلوب ( داخلى ) = 20 - 25 جم / م2</t>
  </si>
  <si>
    <t>صحى مقطوعية</t>
  </si>
  <si>
    <t>الصحى اسعار خامات المواسير الصرف والتغذيه في حدود 2000 جم</t>
  </si>
  <si>
    <t>اسعار المصنعيات للحمام والمطبخ = 1000 جم</t>
  </si>
  <si>
    <t>القطع والاكسسوارت حسب الطلب في المتوسط</t>
  </si>
  <si>
    <t>حوض جرافينا = 300 جم</t>
  </si>
  <si>
    <t>قاعدة جرافينا = 650 جم</t>
  </si>
  <si>
    <t>حوض استانلس عين واحده = 120 جم</t>
  </si>
  <si>
    <t>اما اسعار ديوارفيت</t>
  </si>
  <si>
    <t>حوض = 600 جم</t>
  </si>
  <si>
    <t>القاعده = 900 - 1250 جم</t>
  </si>
  <si>
    <t>حوض استانلس بصفايه وعين = 280 جم</t>
  </si>
  <si>
    <t>كهربة مقطوعية</t>
  </si>
  <si>
    <t>في المتوسط الخامات = 2000 – 2500 جم بخلاف الاكسسوارت</t>
  </si>
  <si>
    <t>المصنعيات = 1200 – 1500 جم</t>
  </si>
  <si>
    <t>نجارة باب و شباك مقطوعية</t>
  </si>
  <si>
    <t>باب غرفه حشو 300 - 400 جم</t>
  </si>
  <si>
    <t>باب قشره ارو = 450 جم</t>
  </si>
  <si>
    <t>باب شقه قشره ارو = 450 – 600 جم</t>
  </si>
  <si>
    <t>باب شقه حشو 450 – 650 جم</t>
  </si>
  <si>
    <t>الشبابيك مقاس 100 *100 او 120 * 120 في المتوسط من 250 الى 350 جم بخلاف الزجاج والسلك</t>
  </si>
  <si>
    <t>اسعار التركيب من 50 الى 60 جم في المتوسط للقطعه الواحده</t>
  </si>
  <si>
    <t>م2 اسقف معلقة :-</t>
  </si>
  <si>
    <t>بلاطات فينيل 60 * 60 = 70 - 80 جم / م2</t>
  </si>
  <si>
    <t>اسقف الواح جبس من الجبس الابيض انتاج شركه كنف = 100 - 120 جم / م2</t>
  </si>
  <si>
    <t>جبس اخضر للحمامات = 120 جم / م2</t>
  </si>
  <si>
    <t>جبس احمر للمطابخ = 130 جم / م2</t>
  </si>
  <si>
    <t>م2 أرضيات ( جرانيت رخام بورسلين سيراميك بلاط باركيه )</t>
  </si>
  <si>
    <t>اسعار تركيب الرخام والجرانيت ارضيات متوسط من 25 - 60 جم بدون التشطيب ( الجلاء والتلميع ) والسعر يعتمد على نوع الرخام او الجرانيت ومقاسه والتفاصيل الخاصه بالرسومات ان وجدت وكذلك الكميات التى سيتم تركيبها</t>
  </si>
  <si>
    <t>اسعار التشطيب للرخام تتراوح ما بين 30 - 40 جم شامله ملىء اللحامات والجلاء والتلميع بمراحله المختلفه</t>
  </si>
  <si>
    <t>اسعار تركيب ارضيات سيراميك بلاطه عاديه تتراوح ما بين 15 – 20 جم</t>
  </si>
  <si>
    <t>اسعار تركيب ارضيات بورسلين بدون رسومات ديكور تتراوح ما بين 25 - 35 جم</t>
  </si>
  <si>
    <t>تزداد الاسعار السابقه في حالة الحوائط بنسبة 10 % تقريبا</t>
  </si>
  <si>
    <t>اسعار تركيب الباركيه مصنعيات فقط تتراوح ما بين 25 - 40 جم</t>
  </si>
  <si>
    <t>اسعار تركيب الحوائط بورسلين قطع ليزر باستخدام المواد اللاصقه السعر يبدأ من 30 وحتى 50 جنيه للمتر المسطح</t>
  </si>
  <si>
    <t>م2 دهانات ( داخلى خارجى )</t>
  </si>
  <si>
    <t>اعمال الدهانات الداخليه</t>
  </si>
  <si>
    <t>دهانات بلاستيك او ببوية الزيت</t>
  </si>
  <si>
    <t>تشطيب عادى او متوسط = 8-12 جم</t>
  </si>
  <si>
    <t>تشطيب مميز بديكورات حديثه = 15- 35 جم</t>
  </si>
  <si>
    <t>دهانات خارجيه على حسب التشطيب</t>
  </si>
  <si>
    <t>كومبليكو متوسط 15 -20 جم</t>
  </si>
  <si>
    <t>دراى ميكس 4 - 6 جم غير شامل السقالات وغير شامل البياض</t>
  </si>
  <si>
    <t>سافيتو 4 - 6 جم غير شامل السقالات وغير شامل البياض</t>
  </si>
  <si>
    <t>م2 بياض ( داخلى خارجى )</t>
  </si>
  <si>
    <t>البياض الداخلى من 10- 18 جم</t>
  </si>
  <si>
    <t>البياض الخارجى من 20 -25 جم غير شامل السقالات</t>
  </si>
  <si>
    <t>م2 مبانى ( 25*12*6 سم )</t>
  </si>
  <si>
    <t>المتر المسطح مبانى 9 - 11 جم</t>
  </si>
  <si>
    <t>م3 مبانى ( 25*12*6 سم )</t>
  </si>
  <si>
    <t>المتر المكعب مبانى من 70 - 85 جم</t>
  </si>
  <si>
    <t>م2 أسقف معلقة</t>
  </si>
  <si>
    <t>سقف معلق من الواح ( مصنعيات ) = 20 - 30 جم شامل معالجه سطح الالواح بعد التركيب وتركيب الزوايا الميتال والشريط الفيبر</t>
  </si>
  <si>
    <t>اسقف معلقه بلاطات ( مصنعيات ) من 15- 25 جم</t>
  </si>
  <si>
    <t>م2 قرميد</t>
  </si>
  <si>
    <t>حسب النوع وطريقة التركيب والكميه ونوع السطح الذى سيركب عليه القرميد</t>
  </si>
  <si>
    <t xml:space="preserve">وفى المتوسط يتراوح سعر التركيب من 20 - 30 جم والسعر غير شامل مصنعيات العلفات في حالة التركيب على خشب وغير شامل تجهيز الردم وعمل الميول في حالة التركيب على مونه </t>
  </si>
  <si>
    <t>م2 ورق حائط</t>
  </si>
  <si>
    <t>على حسب نوع الورق والسعر يتراوح من 10 الى 20 جم</t>
  </si>
  <si>
    <t>م2 واجهة زجاجية</t>
  </si>
  <si>
    <t>على حسب الواجهه وتفاصيل ونوع التشطيب المطلوب وتفاصيله</t>
  </si>
  <si>
    <t>الاعمال الصحية</t>
  </si>
  <si>
    <t>بالعدد مصنعية تركيب تواليت بالتغذية والصرف الداخلى الفئة 280 جم</t>
  </si>
  <si>
    <t>بالعدد مصنعية تركيب حوض بالتغذية والصرف الداخلى الفئة 220 جم</t>
  </si>
  <si>
    <t>بالعدد مصنعية تركيب بانيو بالتغذية والصرف الداخلى الفئة 250 جم</t>
  </si>
  <si>
    <t>بالعدد مصنعية تركيب سخان بالتغذية والصرف الداخلى الفئة 120 جم</t>
  </si>
  <si>
    <t>بالعدد مصنعية تركيب بيبة الصرف الداخلى الفئة 50 جم</t>
  </si>
  <si>
    <t>بالعدد مصنعية تركيب جالتراب الصرف الداخلى الفئة 50 جم</t>
  </si>
  <si>
    <t>بالعدد مصنعية تركيب مبولة بالصرف والتغذيه الفئة 200 جم</t>
  </si>
  <si>
    <t>بالعدد مصنعية اعادة تركيب حوض الفئة 80 جم</t>
  </si>
  <si>
    <t>بالمتر الطولى مصنعية تركيب مواسير تغذية بالمياة بقطر 3/4 او 1 بوصه الفئة 10 جم</t>
  </si>
  <si>
    <t>بالمتر الطولى مصنعية تركيب مواسير صرف قطر 2 بوصة الفئة 15 جم</t>
  </si>
  <si>
    <t>بالمتر الطولى مصنعية تركيب مواسير صرف قطر 3 بوصة الفئة 20 جم</t>
  </si>
  <si>
    <t>بالمتر الطولى مصنعية تركيب مواسير صرف قطر 4 بوصة الفئة 25 جم</t>
  </si>
  <si>
    <t>م2 عزل ( قواعد لبشة حمامات سطح حوائط ( داخلى خارجى )</t>
  </si>
  <si>
    <t>عزل بيتومين على البارد لزوم الاساسات وقصة الردم = 1.25- 2 جم / م2</t>
  </si>
  <si>
    <t>عزل بيتومين على الساخن ( بيتومين مؤكسد ) لزوم الاساسات وقصة الردم = 3-5 جم / م2</t>
  </si>
  <si>
    <t>عزل الحمامات( لفائف ) = 6 - 10 جم / م2 محمل عليه الوزرات</t>
  </si>
  <si>
    <t>عزل الاسطح ( لفائف ) = 4 -6 جم / م2 محمل عليه الوزرات</t>
  </si>
  <si>
    <t>عزل ذو اساس اسمنتى (مادة اديكور ام او غيرها) =7 - 9 جم / م2</t>
  </si>
  <si>
    <t>اعمال النجارة مصنعيات</t>
  </si>
  <si>
    <t>في حالة التشطيب العادى ومستوى النجاره متوسط ( ابواب وشبابيك من الخشب السويدى )</t>
  </si>
  <si>
    <t>مصنعية تركيب باب غرفه او باب حمام = 50 جم</t>
  </si>
  <si>
    <t>مصنعية تركيب باب شقه =60 جم</t>
  </si>
  <si>
    <t>مصنعية تركيب باب بلكونه = 80 جم</t>
  </si>
  <si>
    <t>مصنعية تركيب شباك شيش وزجاج = 60 جم</t>
  </si>
  <si>
    <t>اما في حالة التشطيب الفندقى ( مستوى النجاره عالى جدا ) والخشب من قشرة الارو الماسيف او الزان</t>
  </si>
  <si>
    <t>باب ضلفه واحده من 70 - 110 سم عرض = 150 جم</t>
  </si>
  <si>
    <t>باب ضلفتين من 160 - 200 عرض = 250 جم</t>
  </si>
  <si>
    <t xml:space="preserve">اسعار الكهرباء  </t>
  </si>
  <si>
    <t>في حالة المنشأت العاديه ( الوحدات السكنيه والوحدات المشابهه )</t>
  </si>
  <si>
    <t>تتراوح اسعار مصنعيات اعمال الكهرباء ابتداء من الخراطيم والمواسير حتى التشطيب الكامل بالمخرج كالتالى</t>
  </si>
  <si>
    <t xml:space="preserve"> مخرج اناره 35 - 45 جم</t>
  </si>
  <si>
    <t xml:space="preserve"> مخرج ليد = 35 - 45 جم</t>
  </si>
  <si>
    <t xml:space="preserve"> مخرج بريزه عاديه 35 - 45 جم</t>
  </si>
  <si>
    <t>مخرج بريزة قوى (سخان - غساله - ماكينه حلاقه - مجفف ايدى ) =65- 80 جم</t>
  </si>
  <si>
    <t xml:space="preserve"> مخرج تكييف = 65- 80 جم</t>
  </si>
  <si>
    <t>مخرج بريزه 380 = 70 - 80 جم</t>
  </si>
  <si>
    <t>التيار الخفيف</t>
  </si>
  <si>
    <t xml:space="preserve"> مخرج تليفون = 30 -40 جم</t>
  </si>
  <si>
    <t xml:space="preserve"> مخرج داتا = 30 - 40 جم</t>
  </si>
  <si>
    <t xml:space="preserve"> مخرج تليفزيون = 30 - 40 جم</t>
  </si>
  <si>
    <t>التشطيب</t>
  </si>
  <si>
    <t>تركيب سبوت لايت او ابليك = 10 - 15 جم</t>
  </si>
  <si>
    <t>تركيب كشاف = 15- 20 جم</t>
  </si>
  <si>
    <t>تركيب وتبوير لوحات الكهرباء</t>
  </si>
  <si>
    <t>لوحة الكهرباء الرئيسيه من 500 – 600 جم</t>
  </si>
  <si>
    <t>لوحة الكهرباء الفرعيه الخاصه بالوحده = 250 - 300 جم</t>
  </si>
  <si>
    <t>الحفر و الردم و الاحلال</t>
  </si>
  <si>
    <t>م3 حفر في تربه رملية مع نقل المخلفات = 5 - 7 جم / م3</t>
  </si>
  <si>
    <t>م3 حفر في تربه طينيه رطبه (باستخدام الحفار)حفر فقط = 8 - 12 جم / م3</t>
  </si>
  <si>
    <t>م3 حفر في تربه طفليه متماسكه = 8 - 15 جم / م3</t>
  </si>
  <si>
    <t>م3 حفر في تربه طفليه متصلبه = 15 - 25 جم / م3</t>
  </si>
  <si>
    <t>م3 حفر في تربه حجر جبرى = 20 - 30 جم / م3</t>
  </si>
  <si>
    <t>م3 حفر في تربه صخريه ( باستخدام الجاكوش ) = 50 - 60 جم / م3</t>
  </si>
  <si>
    <t>م3 نقل مخلفات لمسافه 20 كم بمتوسط 20 دقيقه ذهاب و20 دقيقه في العوده = 8 - 12 جم</t>
  </si>
  <si>
    <t>م3 مصنعيات ردم باستخدام الرمال النظيفه = 1.5 - 3 جم / م3</t>
  </si>
  <si>
    <t>م3 مصنعيات تنفيذ تربة احلال من الرمل النظيف = 2.5 - 4 جم / م3</t>
  </si>
  <si>
    <t>م3 مصنعيات تنفيذ تربه احلال من الزلط والرمل = 7- 10 جم / م3</t>
  </si>
  <si>
    <t>باليوميه ايجار هراس لزوم دمك الارضيات = 800 -1200 جم / يوم</t>
  </si>
  <si>
    <t>اسعار تنفيذ الخرسانه المسلحه مصنعيات فقط شامل العده الخشبيه</t>
  </si>
  <si>
    <t>م3 قواعد منفصله = 150 جم / م3</t>
  </si>
  <si>
    <t>م3 نجارة وحداده لبشه = 80 - 100 جم / م3</t>
  </si>
  <si>
    <t>فى حالة الاسقف السوليد</t>
  </si>
  <si>
    <t>م3 نجارة وحداده للدور الارضى = 170 - 190 جم / م3</t>
  </si>
  <si>
    <t>تضاف علاوه 10 جم لكل دور ارتفاع</t>
  </si>
  <si>
    <t>في حالة الاسقف الفلات سلاب و الهوردى</t>
  </si>
  <si>
    <t>م3 نجارة وحداده للدور الارضى 150 - 170 جم</t>
  </si>
  <si>
    <t xml:space="preserve">تضاف علاوه 10 جم / م3 لكل دور اعلى الدور الارضى </t>
  </si>
  <si>
    <t xml:space="preserve"> في حالة الاسقف البانلدبيم</t>
  </si>
  <si>
    <t>في حالة ارتفاع الدور 4 - 6 م والشده المستخدمه شده خشبيه م3 = 250 - 300 جم</t>
  </si>
  <si>
    <t>في حالة ارتفاع الاسقف من 6- 9 م والشده المستخدمه شده خشبيه = 350 - 450 جم</t>
  </si>
  <si>
    <t>اسعار اعمال الفرمجة</t>
  </si>
  <si>
    <t>م3 فرمجة للأساسات والاعمدة والاسقف شامله اعمال الهز والتسويه = 4 -6 جم / م3</t>
  </si>
  <si>
    <t>في المتوسط اسعارالخرسانه الجاهزه شامله الصب باستخدام البامب المتحرك</t>
  </si>
  <si>
    <t>جهد 200 كجم / سم2 السعر 280 - 300 جم / م3</t>
  </si>
  <si>
    <t>جهد 225 كجم / سم2 السعر 300 - 315 جم / م3</t>
  </si>
  <si>
    <t>جهد 250 كجم / سم2 السعر 320 - 340 جم / م3</t>
  </si>
  <si>
    <t>جهد 300 كجم / سم2 السعر 350 - 375 جم / م3</t>
  </si>
  <si>
    <t>جهد 350 كجم / سم2 السعر 375 - 400 جم / م3</t>
  </si>
  <si>
    <t>جهد 400 كجم / سم2 السعر 400 - 420 جم / م3</t>
  </si>
  <si>
    <t>في حالة طلب خرسانه جاهزه بدون البامب تقل الاسعار السابقة بقيمة 25 جم / م3</t>
  </si>
  <si>
    <t>متوسط اسعار الحساب باليوميه ( اليوميات )</t>
  </si>
  <si>
    <t>يومية سائق اللودر وسائق الحفار = 80 - 120 جم</t>
  </si>
  <si>
    <t>يومية سائق الهراس = 120 - 150 جم</t>
  </si>
  <si>
    <t>يومية سائق عربة نقل = 80 - 120 جم</t>
  </si>
  <si>
    <t>سائق عربة ملاكى او ربع نقل بالشهر = 1600 - 2500 جم / شهر</t>
  </si>
  <si>
    <t>يومية النجار المسلح = 100 -125 جم</t>
  </si>
  <si>
    <t>يومية مساعد نجار = 60 - 80 جم</t>
  </si>
  <si>
    <t>يومية الحداد المسلح = 100 -125 جم</t>
  </si>
  <si>
    <t>يومية مساعد الحداد = 60 - 80 جم</t>
  </si>
  <si>
    <t>يومية الفورمجى = 100 -120 جم</t>
  </si>
  <si>
    <t>يومية عامل الصب = 80 -100 جم</t>
  </si>
  <si>
    <t>يومية البناء = 110 - 130 جم</t>
  </si>
  <si>
    <t>يومية مساعد البناء = 70 - 80 جم</t>
  </si>
  <si>
    <t>يومية مبيض المحاره = 100 -130 جم</t>
  </si>
  <si>
    <t>مساعد المبيض = 70 - 80 جم</t>
  </si>
  <si>
    <t>يومية مبلط السيراميك = 130 - 180 جم</t>
  </si>
  <si>
    <t>مساعد مبلط السيراميك = 70 - 90 جم</t>
  </si>
  <si>
    <t>يومية مبلط البلاط الموزايكو والبلاط الاسمنتى وبلاط الارصفه = 110 - 130 جم</t>
  </si>
  <si>
    <t>يومية النقاش = 80 - 120 جم</t>
  </si>
  <si>
    <t>يومية مساعد النقاش = 60 - 70 جم</t>
  </si>
  <si>
    <t>يومية صنايعى تركيب الرخام ( المرخماتى ) = 140 - 200 جم</t>
  </si>
  <si>
    <t>يومية مساعد تركيب رخام = 75 - 110 جم</t>
  </si>
  <si>
    <t>يومية صنايعى العزل = 110 - 130 جم</t>
  </si>
  <si>
    <t>يومية الاستورجى = 100 -130 جم</t>
  </si>
  <si>
    <t>يومية المساعد = 70 - 90 جم</t>
  </si>
  <si>
    <t>يومية صانيعى تركيب الجبس بورد وبلاطات الاسقف = 110 -130 جم</t>
  </si>
  <si>
    <t>يومية الكهربائى =80 - 110 جم</t>
  </si>
  <si>
    <t>يومية المساعد = 60 - 80 جم</t>
  </si>
  <si>
    <t xml:space="preserve"> يومية النجار ( باب وشباك ) = 120 - 150 جم</t>
  </si>
  <si>
    <t>يومية المساعد = 60 - 90 جم</t>
  </si>
  <si>
    <t>يومية العامل العادى = 60 – 80 جم</t>
  </si>
  <si>
    <t>يومية النحات = 100 - 120 جم</t>
  </si>
  <si>
    <t>يومية عامل الزراعه = 60 - 80 جم</t>
  </si>
  <si>
    <t>يومية عامل النظافة وعامل البوفيه = 50 - 70 جم</t>
  </si>
  <si>
    <t>اسعار مصنعيات محارة الحوائط سعر تجاري 12 جم للمتر للحوائط الداخلية للشقق</t>
  </si>
  <si>
    <t>أسعار مصنعيات محارة للحوائط سعر ميزان (ادة واوتار ) من 13 الي 17 جم للمتر للحوائط الداخلية للشقق</t>
  </si>
  <si>
    <t>اسعار مصنعيات محارة الحوائط الخارجية (الواجهات ) سعر تجاري 25 جم للمتر للحوائط الخارجية والواجهات للفلل والعمارات</t>
  </si>
  <si>
    <t>اسعار مصنعية المحارة للواجهات الخارجية سعر ميزان وادة واوتار 35 جم للمتر</t>
  </si>
  <si>
    <t>اسعار المحارة للاعمال الخارجية السعر يشمل الخامات والمصنعيات والسقالات</t>
  </si>
  <si>
    <t>مصنعيات الواجهة محارة و مصنعية معجون و مصنعيات دهانات و السقالات الخشبية 60جم للمتر</t>
  </si>
  <si>
    <t>مصنعيات الواجهة محارة و رش فطيسة و السقالات الخشبية 40جم للمتر</t>
  </si>
  <si>
    <t>مصنعيات الواجهة محارة و مواد كمياويات البناء الحديثة (مادة ) 45 جم للمتر</t>
  </si>
  <si>
    <t>اسعار تركيب السيراميك 25 جم و 35 جم للبورسلين و40 جم للرخام</t>
  </si>
  <si>
    <t>تركيب الالوميتال بسعر 350 جم للمتر قطاع السعد عريض</t>
  </si>
  <si>
    <t>و 600 جم قطاع بي اس الصغير</t>
  </si>
  <si>
    <t>و700 جم لقطاع البي اس الوسط</t>
  </si>
  <si>
    <t>800 جم قطاع بي اس</t>
  </si>
  <si>
    <t>900 جم قطاع بي اس الجامبو ( الدابل)</t>
  </si>
  <si>
    <t>السعر يشمل قطاعات الالوميتال والزجاج والشيش والتركيب والنقل لجميع انحاء الجمهورية</t>
  </si>
  <si>
    <t>اسعار مصنعيات تأسيس الكهرباء في التشطيبات الداخلية</t>
  </si>
  <si>
    <t>توزيع الاضاءة علي الاسقف والحوائط للمساعدة في تنفيذ الديكورات بشكل متكامل</t>
  </si>
  <si>
    <t>يتم عمل 55 مفتاح انارة وتغذية للاجهزة</t>
  </si>
  <si>
    <t>دائرة تكييف</t>
  </si>
  <si>
    <t>دائرة انترنت</t>
  </si>
  <si>
    <t>دائرة دش</t>
  </si>
  <si>
    <t>دائرة تليفون</t>
  </si>
  <si>
    <t>دائرة جهد مرتفع للمطبخ</t>
  </si>
  <si>
    <t>اعادة توزيع الجهد الدخلي وفقا لما يتناسب مع شدة التيار</t>
  </si>
  <si>
    <t>سعر النقطة 25 جم</t>
  </si>
  <si>
    <t>تركيب باركيه مصرى(70)جم للمتر بالتركيب والمصنعيه</t>
  </si>
  <si>
    <t>تركيب باركيه صينى(70)جم للمتر بالمصنعيه والتركيب</t>
  </si>
  <si>
    <t>تركيب باركيه تركى(90)جم للمتر بالمصنعيه والتركيب</t>
  </si>
  <si>
    <t>تركيب باركيه المانى(90)جم للمتر بالتركيب والمصنعيه</t>
  </si>
  <si>
    <t>تركيب باركيه السويدى (350)جم للمتر بالتركيب والمصنعيه</t>
  </si>
  <si>
    <t>الباركيه مسمار مصرى بالتركيب والمصنعيه (500)جم للمتر</t>
  </si>
  <si>
    <t>اسعار ومصنعيات السقف الساقط ( اعمال حديد وشبك ) 350 جم للمتر ومدة التنفيذ 15 يوم</t>
  </si>
  <si>
    <t>اسعار ومصنعيات السقف الساقط وبيت نور جبسون بورد ( الالواح ) 100 جم للمتر حسب التصميم</t>
  </si>
  <si>
    <t>مصنعيات تركيب الابواب والنجارة للشقق 2000جم</t>
  </si>
  <si>
    <t>وايضا يوجد اسعار مميزة جدا للابواب الاندونيسي للغرف والباب الرئيسي سعر الباب للغرف تشطيب سوبر لوكس 350 جم للباب اما باب الشقة زان اندونيسي 900 جم واسعار خاصة جدا جدا للبرور والحلي والاكر واكسسوارات الابواب الخشبية</t>
  </si>
  <si>
    <t>يتم عمل دائرة انترنت</t>
  </si>
  <si>
    <t>يتم عمل دائرة دش</t>
  </si>
  <si>
    <t>يتم عمل دائرة تليفون</t>
  </si>
  <si>
    <t>يتم عمل دائرة جهد مرتفع للمطبخ</t>
  </si>
  <si>
    <t>سعر المصنعيات 3000 جم</t>
  </si>
  <si>
    <t>م2 واجهات زجاجية</t>
  </si>
  <si>
    <t>فى حالة ظهور الاطار المعدنى الحامل 400 دولار</t>
  </si>
  <si>
    <t>فى حالة عدم ظهور الاطار المعدنى الحامل 700 دولار</t>
  </si>
  <si>
    <t>الحفر و الردم</t>
  </si>
  <si>
    <t>cover!A1</t>
  </si>
  <si>
    <r>
      <t xml:space="preserve">مياه و خلافه </t>
    </r>
    <r>
      <rPr>
        <b/>
        <sz val="24"/>
        <color theme="0"/>
        <rFont val="Traditional Arabic"/>
        <family val="1"/>
      </rPr>
      <t>على ان لا يقل اجهاد الكسر للمكعبات</t>
    </r>
  </si>
  <si>
    <t xml:space="preserve"> اعمال المباني</t>
  </si>
  <si>
    <t>اعمال الكهرباء</t>
  </si>
  <si>
    <t>بالمتر المكعب حفر فى تربة صخرية</t>
  </si>
  <si>
    <t xml:space="preserve">حفر </t>
  </si>
  <si>
    <t>بالمتر المكعب ردم برمال نظيفة من الخارج</t>
  </si>
  <si>
    <t>ردم رمال</t>
  </si>
  <si>
    <t xml:space="preserve"> اعمال الخرسانة العاديه شامل العده و الفرمجة</t>
  </si>
  <si>
    <t xml:space="preserve"> اعمال الخرسانة المسلحه شامل العده و الفرمجة</t>
  </si>
  <si>
    <t>الخرسانات:-</t>
  </si>
  <si>
    <t>المبانى:-</t>
  </si>
  <si>
    <t>البياض:-</t>
  </si>
  <si>
    <t>الدهانات:-</t>
  </si>
  <si>
    <t>السيراميك:-</t>
  </si>
  <si>
    <t>الرخام و الجرانيت:-</t>
  </si>
  <si>
    <t>النجارة:-</t>
  </si>
  <si>
    <t>الصحى:-</t>
  </si>
  <si>
    <t>الحفر و الردم و الاحلال:-</t>
  </si>
  <si>
    <t>العزل:-</t>
  </si>
  <si>
    <t>م2 قرميد:-</t>
  </si>
  <si>
    <t>م2 أسقف معلقة:-</t>
  </si>
  <si>
    <t>م2 ورق حائط:-</t>
  </si>
  <si>
    <t>اسعار الكهرباء  :-</t>
  </si>
  <si>
    <t>م2 واجهة زجاجية:-</t>
  </si>
  <si>
    <t>اسعار 2014  المقاولين العرب</t>
  </si>
  <si>
    <t>اعمال الصحى:-</t>
  </si>
  <si>
    <t>اعمال الكهرباء:-</t>
  </si>
  <si>
    <t>اعمال نجارة باب و شباك:-</t>
  </si>
  <si>
    <t>اعمال الارضيات:-</t>
  </si>
  <si>
    <t>اعمال الدهانات:-</t>
  </si>
  <si>
    <t>اعمال الطوب:-</t>
  </si>
  <si>
    <t>اعمال الخرسانات:-</t>
  </si>
  <si>
    <t>الاعمال الصحيه</t>
  </si>
  <si>
    <t>مواسير (PVC) طول الماسوره 6 م للصرف</t>
  </si>
  <si>
    <t>مواسير ( PPR) طول الماسوره 4 م للتغذيه بارد و ساخن</t>
  </si>
  <si>
    <t>الصرف</t>
  </si>
  <si>
    <t>عمود العمل ( صرف الفضلات ) قطر 4 بوصه</t>
  </si>
  <si>
    <t>عمود الصرف ( صرف المياه من البيبه ) قطر 3 بوصه</t>
  </si>
  <si>
    <t>عمود التهويه قطر 2 بوصه</t>
  </si>
  <si>
    <t>و يتصل بعمود العمل فوق وصلة الدور الارضى</t>
  </si>
  <si>
    <t>التغذيه</t>
  </si>
  <si>
    <t>المسافه بين ماسورتى البارد و الساخن 15 سم</t>
  </si>
  <si>
    <t>......................................................................</t>
  </si>
  <si>
    <t>المناسيب فوق منسوب تشطيب الارضيات</t>
  </si>
  <si>
    <t>حوض غسيل الايدى 80 سم</t>
  </si>
  <si>
    <t>حوض المطبخ 90 سم</t>
  </si>
  <si>
    <t>خلاط حوض غسيل الايدى 110 سم</t>
  </si>
  <si>
    <t>خلاط حوض المطبخ 120 سم</t>
  </si>
  <si>
    <t>سخان الغاز 140 سم</t>
  </si>
  <si>
    <t>سخان الكهربه 180 سم</t>
  </si>
  <si>
    <t>البانيو 45 سم</t>
  </si>
  <si>
    <t>خلاط البانيو 75 سم</t>
  </si>
  <si>
    <t>وصلتى البارد و الساخن للسخان 50 سم اسفله</t>
  </si>
  <si>
    <t>خلاط الدش 50 سم</t>
  </si>
  <si>
    <t>صرف حوض غسيل الايدى 50 سم</t>
  </si>
  <si>
    <t>صرف حوض المطبخ 50 سم</t>
  </si>
  <si>
    <t>...................................................................</t>
  </si>
  <si>
    <t>قطر البيبه 10 سم</t>
  </si>
  <si>
    <t>مداخل البيبه 5 سم</t>
  </si>
  <si>
    <t>ميل سيراميك الارضيه فى اتجاه البيبه 1%</t>
  </si>
  <si>
    <t>تكلفة 1 م2 بياض</t>
  </si>
  <si>
    <t>وصلات الحديد</t>
  </si>
  <si>
    <t>وصلة الشد 65 فاى بحد ادنى 1 م</t>
  </si>
  <si>
    <t>وصلة الضغط 45 فاى بحد ادنى 1 م</t>
  </si>
  <si>
    <t>لا يزيد وصل الحديد عن 25% من الاسياخ</t>
  </si>
  <si>
    <t>فى مصر الوصل بين الاسياخ تبادلى اى 50%</t>
  </si>
  <si>
    <t>الوصله المنفذه تساوى 1.3 من الوصله المطلوبه</t>
  </si>
  <si>
    <t>فى حالة تغرض السيخ لشد محورى لابد من الوصل الميكانيكى</t>
  </si>
  <si>
    <t>فى الكبارى فى حالة زيادة طول السيخ عن 12 م لابد من الوصل الميكانيكى</t>
  </si>
  <si>
    <t>الاقطار اكبر من فاى 28 مم يتم وصلها ميكانيكيا</t>
  </si>
  <si>
    <t>بالمتر المكعب حفر فى تربة حجرية</t>
  </si>
  <si>
    <t>7 ساعات</t>
  </si>
  <si>
    <t>يومية الحفار  شاكوش او جاك هامر من 1200-1500 جم</t>
  </si>
  <si>
    <t>يومية الحفار بوكت متوسط من 700-15000 جم</t>
  </si>
  <si>
    <t>تحليل اسعار</t>
  </si>
  <si>
    <t>cost estiment</t>
  </si>
  <si>
    <t>1-site preparation</t>
  </si>
  <si>
    <t>labors</t>
  </si>
  <si>
    <t>equipment</t>
  </si>
  <si>
    <t>day</t>
  </si>
  <si>
    <t>Le/day</t>
  </si>
  <si>
    <t>no</t>
  </si>
  <si>
    <t>item</t>
  </si>
  <si>
    <t>loader 3.5m3/d</t>
  </si>
  <si>
    <t>scraper</t>
  </si>
  <si>
    <t>total cost</t>
  </si>
  <si>
    <t>Total cost</t>
  </si>
  <si>
    <t>L E</t>
  </si>
  <si>
    <t>Duration</t>
  </si>
  <si>
    <t>2-Excavation</t>
  </si>
  <si>
    <t>Truck capacity</t>
  </si>
  <si>
    <t>m3</t>
  </si>
  <si>
    <t>Production rate of excavator</t>
  </si>
  <si>
    <t>m3/day</t>
  </si>
  <si>
    <t>m3/hours</t>
  </si>
  <si>
    <t>Eff.</t>
  </si>
  <si>
    <t xml:space="preserve"> 0.5x60/8</t>
  </si>
  <si>
    <t>0.5x60/15</t>
  </si>
  <si>
    <t xml:space="preserve">Dumping time </t>
  </si>
  <si>
    <t xml:space="preserve">Maneuver time </t>
  </si>
  <si>
    <t xml:space="preserve">Return time </t>
  </si>
  <si>
    <t xml:space="preserve">Going time </t>
  </si>
  <si>
    <t xml:space="preserve"> 10*60/50</t>
  </si>
  <si>
    <t>21.75/12</t>
  </si>
  <si>
    <t xml:space="preserve">Loading time </t>
  </si>
  <si>
    <t xml:space="preserve"> Total cycle time </t>
  </si>
  <si>
    <t xml:space="preserve"> No of trucks </t>
  </si>
  <si>
    <t>min</t>
  </si>
  <si>
    <t>truck</t>
  </si>
  <si>
    <t>الذهاب</t>
  </si>
  <si>
    <t>العودة</t>
  </si>
  <si>
    <t>التفريغ</t>
  </si>
  <si>
    <t>الحمولة</t>
  </si>
  <si>
    <t>المناورة</t>
  </si>
  <si>
    <t>Q</t>
  </si>
  <si>
    <t>سرعة</t>
  </si>
  <si>
    <t>زمن</t>
  </si>
  <si>
    <t>مسافة</t>
  </si>
  <si>
    <t>Excavator</t>
  </si>
  <si>
    <t>Loader</t>
  </si>
  <si>
    <t>Truck</t>
  </si>
  <si>
    <t>Unskilled</t>
  </si>
  <si>
    <t>Production rate</t>
  </si>
  <si>
    <t>Total time</t>
  </si>
  <si>
    <t>Total cost/1day</t>
  </si>
  <si>
    <t>Total cost/10 day</t>
  </si>
  <si>
    <t>unit of 1m3</t>
  </si>
  <si>
    <t>sand soil</t>
  </si>
  <si>
    <t>3-backfilling</t>
  </si>
  <si>
    <t>Roller 10t</t>
  </si>
  <si>
    <t xml:space="preserve"> 1 loader</t>
  </si>
  <si>
    <t xml:space="preserve">  Un skilled </t>
  </si>
  <si>
    <t xml:space="preserve">  Water tank truck </t>
  </si>
  <si>
    <t>Total cost/6 day</t>
  </si>
  <si>
    <t>الكمية</t>
  </si>
  <si>
    <t>السعر</t>
  </si>
  <si>
    <t>total cost (materials+equip+labors)</t>
  </si>
  <si>
    <t>4-isolalion</t>
  </si>
  <si>
    <t>skilled</t>
  </si>
  <si>
    <t>Production rate(1labors)</t>
  </si>
  <si>
    <t>Production rate(3labors)</t>
  </si>
  <si>
    <t>m2</t>
  </si>
  <si>
    <t>Total cost/4 day(3 اطقم)</t>
  </si>
  <si>
    <t>bitumen</t>
  </si>
  <si>
    <t>برميل يتومين</t>
  </si>
  <si>
    <t>بيتومين</t>
  </si>
  <si>
    <t>يفرد</t>
  </si>
  <si>
    <t>5-plain concrete</t>
  </si>
  <si>
    <t>Total timeبالتقريب</t>
  </si>
  <si>
    <t>cost 1m3 wood</t>
  </si>
  <si>
    <t>Le</t>
  </si>
  <si>
    <t>عدد مرات استعمال الخشب</t>
  </si>
  <si>
    <t>مرات</t>
  </si>
  <si>
    <t>معدل استخدام الخشب مرة واحدة</t>
  </si>
  <si>
    <t>مكعب 1*1*.02</t>
  </si>
  <si>
    <t>1م3 خرسانة عادية</t>
  </si>
  <si>
    <t xml:space="preserve"> خشبm3</t>
  </si>
  <si>
    <t xml:space="preserve"> يحتاج خشب1م3 خرسانة عادية</t>
  </si>
  <si>
    <t>Labor cost</t>
  </si>
  <si>
    <t>carpenters</t>
  </si>
  <si>
    <t>assistant</t>
  </si>
  <si>
    <t>unskilled</t>
  </si>
  <si>
    <t>using</t>
  </si>
  <si>
    <t xml:space="preserve">  crews</t>
  </si>
  <si>
    <t>Le/m3</t>
  </si>
  <si>
    <t>خلاطة مركزية</t>
  </si>
  <si>
    <t>Total cost  for 1 m3</t>
  </si>
  <si>
    <t>1 مكعب</t>
  </si>
  <si>
    <t xml:space="preserve">كل 50م3 خرسانة اخذ 6مكعبات </t>
  </si>
  <si>
    <t>6 مكعبات</t>
  </si>
  <si>
    <t>cost 1 m3</t>
  </si>
  <si>
    <t>worker of  pipe of pump</t>
  </si>
  <si>
    <t>formen</t>
  </si>
  <si>
    <t>carpenter</t>
  </si>
  <si>
    <t>Total cost/1 day</t>
  </si>
  <si>
    <t>vibratir</t>
  </si>
  <si>
    <t>Deshutering</t>
  </si>
  <si>
    <t>no of crew</t>
  </si>
  <si>
    <t>crews</t>
  </si>
  <si>
    <t>wood</t>
  </si>
  <si>
    <t>no of crews</t>
  </si>
  <si>
    <t>crew</t>
  </si>
  <si>
    <t>cement</t>
  </si>
  <si>
    <t>sand</t>
  </si>
  <si>
    <t>blockwork</t>
  </si>
  <si>
    <t>M3</t>
  </si>
  <si>
    <t>هالك</t>
  </si>
  <si>
    <t>kg</t>
  </si>
  <si>
    <t>M2</t>
  </si>
  <si>
    <t>300كجم/م3رمل</t>
  </si>
  <si>
    <t>350كجم/م3رمل</t>
  </si>
  <si>
    <t>quantites</t>
  </si>
  <si>
    <t>total</t>
  </si>
  <si>
    <t>Labors</t>
  </si>
  <si>
    <t>production rate</t>
  </si>
  <si>
    <t>m2/day</t>
  </si>
  <si>
    <t>cost/day</t>
  </si>
  <si>
    <t>brick worker</t>
  </si>
  <si>
    <t>labor</t>
  </si>
  <si>
    <t>بناين</t>
  </si>
  <si>
    <t>دباش نقل الطوب</t>
  </si>
  <si>
    <t>موان لتجهيز المونة و نقلها للموانى</t>
  </si>
  <si>
    <t>صبى تملية و تفريغ عراميس</t>
  </si>
  <si>
    <t>materials</t>
  </si>
  <si>
    <t>4-Block</t>
  </si>
  <si>
    <t>total/quan</t>
  </si>
  <si>
    <t>cost</t>
  </si>
  <si>
    <t>Duration(m2)</t>
  </si>
  <si>
    <t>Duration(m3)</t>
  </si>
  <si>
    <t>زمن التنفيذ</t>
  </si>
  <si>
    <t>زمن التنفيذ بالتقريب</t>
  </si>
  <si>
    <t>Total cost for labors</t>
  </si>
  <si>
    <t>Total cost for   mat</t>
  </si>
  <si>
    <t>الكميات التى ستنفذ</t>
  </si>
  <si>
    <t>خشب +هالك4%</t>
  </si>
  <si>
    <t xml:space="preserve">+مسامير 5%خشب </t>
  </si>
  <si>
    <t>viberator</t>
  </si>
  <si>
    <t>placing</t>
  </si>
  <si>
    <t>5-Reinforcement concrete</t>
  </si>
  <si>
    <t>Foundation</t>
  </si>
  <si>
    <t>cost of 1 m3 wood</t>
  </si>
  <si>
    <t>using 5 times</t>
  </si>
  <si>
    <t>quntites of wood</t>
  </si>
  <si>
    <t>Total cost of wood</t>
  </si>
  <si>
    <t>Total cost of wood/1m3</t>
  </si>
  <si>
    <t>m3 concrete</t>
  </si>
  <si>
    <t>Total cost/8 day</t>
  </si>
  <si>
    <t>reinforcement</t>
  </si>
  <si>
    <t>t/day</t>
  </si>
  <si>
    <t>commando</t>
  </si>
  <si>
    <t>fixer</t>
  </si>
  <si>
    <t>vibrator</t>
  </si>
  <si>
    <t>column</t>
  </si>
  <si>
    <t>25*30</t>
  </si>
  <si>
    <t>معدلات الأداء القياسية للاعمال المدنية</t>
  </si>
  <si>
    <t>مسلسل</t>
  </si>
  <si>
    <t>التوصيف</t>
  </si>
  <si>
    <t>النشاط</t>
  </si>
  <si>
    <t>المعدات والعمالة المنفذة للنشاط</t>
  </si>
  <si>
    <t>المعدل اليومى</t>
  </si>
  <si>
    <t>رجل.ساعة/الوحدة</t>
  </si>
  <si>
    <t>ملاحظات</t>
  </si>
  <si>
    <t>تربة رملية</t>
  </si>
  <si>
    <t>حفر يدوى</t>
  </si>
  <si>
    <t>عامل حفر : 2 + عامل عادى</t>
  </si>
  <si>
    <t>5 m3</t>
  </si>
  <si>
    <t>تقل المعدلات ب 50 % فى وجود المياه الجوفية للسند والنزح مع اضافة طلمبة ديزل 6" مع كل فرقة</t>
  </si>
  <si>
    <t>تربة طينية</t>
  </si>
  <si>
    <t>3 m3</t>
  </si>
  <si>
    <t>تربة طفلية</t>
  </si>
  <si>
    <t>4 m3</t>
  </si>
  <si>
    <t>تربة مشبعة بالزيت</t>
  </si>
  <si>
    <t>2 m3</t>
  </si>
  <si>
    <t>حفر ميكانيكى للخطوط</t>
  </si>
  <si>
    <t>عدد : 1 حفار + 1/2 مساح</t>
  </si>
  <si>
    <t>400 m3</t>
  </si>
  <si>
    <t>تربة طفلية متماسكة</t>
  </si>
  <si>
    <t>300 m3</t>
  </si>
  <si>
    <t>تربة صخرية</t>
  </si>
  <si>
    <t>عدد : 1 روك بريكر + 1/2 مساح</t>
  </si>
  <si>
    <t>150 m3</t>
  </si>
  <si>
    <t>حفر ميكانيكى للقواعد :حفر+نقل مخلفات</t>
  </si>
  <si>
    <t>عدد : 1 حفار + 2 قلاب +1/2 مساح</t>
  </si>
  <si>
    <t>120 m3</t>
  </si>
  <si>
    <t>عدد : 1 روك بريكر +1حفار + 1/2 مساح + 2قلاب</t>
  </si>
  <si>
    <t>15 m3</t>
  </si>
  <si>
    <t>ردم يدوى</t>
  </si>
  <si>
    <t>عدد 2 عامل + عدد 1 فنى دكاك</t>
  </si>
  <si>
    <t>6.5 m3</t>
  </si>
  <si>
    <t>ردم ميكانيكى للخطوط</t>
  </si>
  <si>
    <t>عدد 1 بلدوزر + مشرف مدنى</t>
  </si>
  <si>
    <t>ردم ميكانيكى للمبانى</t>
  </si>
  <si>
    <t>عدد 1 لودر +عدد 1 قلاب + مشرف مدنى</t>
  </si>
  <si>
    <t>200 m3</t>
  </si>
  <si>
    <t>أعمال الدك و التسوية</t>
  </si>
  <si>
    <t>عدد 1 لودر +عدد 5 عامل + مشرف مدنى</t>
  </si>
  <si>
    <t>450 m2</t>
  </si>
  <si>
    <t>خرسانات</t>
  </si>
  <si>
    <t>تكسير يدوى</t>
  </si>
  <si>
    <t>عدد 1 نحات</t>
  </si>
  <si>
    <t>0.25 m3</t>
  </si>
  <si>
    <t>مبانى</t>
  </si>
  <si>
    <t>رؤوس خوازيق</t>
  </si>
  <si>
    <t>عدد 2 نحات</t>
  </si>
  <si>
    <t>4 piles</t>
  </si>
  <si>
    <t>تكسير ميكانيكى</t>
  </si>
  <si>
    <t>شاكوش تكسير + عدد 2 عامل + 1/2 مشرف</t>
  </si>
  <si>
    <t>10 m3</t>
  </si>
  <si>
    <t>صخور</t>
  </si>
  <si>
    <t>روك بريكر</t>
  </si>
  <si>
    <t>أعمال الخرسانة العادية للاساسات</t>
  </si>
  <si>
    <t>أعمال النجارة</t>
  </si>
  <si>
    <t>عدد 1 نجار + 1 مساعد</t>
  </si>
  <si>
    <t>أعمال الخرسانة العادية للبلاطات</t>
  </si>
  <si>
    <t>عدد 1 نجار + 2 مساعد + 1/2 مساح</t>
  </si>
  <si>
    <t>100 m2</t>
  </si>
  <si>
    <t>خرسانات عادية أو مسلحة</t>
  </si>
  <si>
    <t>أعمال صب يدوى</t>
  </si>
  <si>
    <t>عدد 1 خلاطة ثابتة 3/4 م3 + 20 عامل</t>
  </si>
  <si>
    <t>40 m3</t>
  </si>
  <si>
    <t>أعمال صب ميكانيكى</t>
  </si>
  <si>
    <t>عدد 1 محطة خلط +2 صاروخ +1 مضخة+19عامل</t>
  </si>
  <si>
    <t>100 m3</t>
  </si>
  <si>
    <t>أعمال الخرسانة المسلحة للقواعد و السملات</t>
  </si>
  <si>
    <t>أعمال الحدادة</t>
  </si>
  <si>
    <t>عدد 1 حداد + 2 مساعد</t>
  </si>
  <si>
    <t>أعمال القواعد و تركيب الجوايط:4 فى القاعدة</t>
  </si>
  <si>
    <t>عدد 1 نجار + 1 مساعد +1/2 لحام + 1/2 مساح</t>
  </si>
  <si>
    <t>2.5 m3</t>
  </si>
  <si>
    <t>عدد 1 حداد + 2 عامل</t>
  </si>
  <si>
    <t>2.50 m3</t>
  </si>
  <si>
    <t>أعمال الاعمدة متوسط 25*40 سم وأرتفاع 3 م</t>
  </si>
  <si>
    <t>عدد 1 نجار + 1 مساعد +1عامل</t>
  </si>
  <si>
    <t>1.20 m3</t>
  </si>
  <si>
    <t>نصف حداد + 1 عامل</t>
  </si>
  <si>
    <t>أعمال الكمرات المسلحة</t>
  </si>
  <si>
    <t xml:space="preserve">عدد 1 نجار + 1 مساعد </t>
  </si>
  <si>
    <t>1 m3</t>
  </si>
  <si>
    <t>أعمال الاسقف متوسط سمك 12 سم</t>
  </si>
  <si>
    <t>عدد 1 نجار + 1 مساعد +1/2عامل</t>
  </si>
  <si>
    <t>7.50 m2</t>
  </si>
  <si>
    <t>3 m2</t>
  </si>
  <si>
    <t>أعمال الحوائط المسلحة متوسط سمك 25سم وارتفاع 3م</t>
  </si>
  <si>
    <t>2.25 m3</t>
  </si>
  <si>
    <t>فى حالة حوائط ارتفاعها من 3:6م يقل معدل النجارة الى 1.75 م3 /يوم</t>
  </si>
  <si>
    <t>ماستيك المستودعات</t>
  </si>
  <si>
    <t>عزل الرطوبة</t>
  </si>
  <si>
    <t>عدد 1 نجار+5 عامل بيتومين+1/2 مشرف</t>
  </si>
  <si>
    <t>دهان أساسات</t>
  </si>
  <si>
    <t>عدد 2 عامل بيتومين(دهان وجهين)</t>
  </si>
  <si>
    <t>75 m2</t>
  </si>
  <si>
    <t xml:space="preserve">عزل أسقف </t>
  </si>
  <si>
    <t>عدد 5 عامل (2خيش + 3 بيتومين)</t>
  </si>
  <si>
    <t>200 m2</t>
  </si>
  <si>
    <t xml:space="preserve">عزل فوم </t>
  </si>
  <si>
    <t>عزل الحرارة</t>
  </si>
  <si>
    <t>عدد 2 عامل دهان + عامل فوم</t>
  </si>
  <si>
    <t>150 m2</t>
  </si>
  <si>
    <t>عزل سيليتون( من 5:7 سم)</t>
  </si>
  <si>
    <t>مشرف+عامل ميكانيكى+2عامل عادى+5 قراونجى</t>
  </si>
  <si>
    <t>مبانى بالطوب المصمت</t>
  </si>
  <si>
    <t>أعمال المبانى</t>
  </si>
  <si>
    <t>عدد 1 بناء+1مساعد+1موان</t>
  </si>
  <si>
    <t>مبانى بالطوب المفرغ</t>
  </si>
  <si>
    <t>عدد 1 بناء+2مساعد+1موان</t>
  </si>
  <si>
    <t>25 m2</t>
  </si>
  <si>
    <t>مبانى بالطوب على السيخ</t>
  </si>
  <si>
    <t>عدد 2 بناء+2مساعد+1موان</t>
  </si>
  <si>
    <t>مبانى دبش رأسى</t>
  </si>
  <si>
    <t>أعمال التدبيش</t>
  </si>
  <si>
    <t>عدد 1 بناء+2عامل+1موان</t>
  </si>
  <si>
    <t>مبانى دبش على المائل (كميات)</t>
  </si>
  <si>
    <t>مبانى دبش مخوص</t>
  </si>
  <si>
    <t>عدد 1 بناء+2عامل</t>
  </si>
  <si>
    <t>الطرطشة و البؤج و الاوتار</t>
  </si>
  <si>
    <t>أعمال بياض داخلى</t>
  </si>
  <si>
    <t>عدد 2 مبيض+2موان+1عامل</t>
  </si>
  <si>
    <t>140 m2</t>
  </si>
  <si>
    <t>بياض تخشين حوائط</t>
  </si>
  <si>
    <t>عدد 1 مبيض+1موان+1عامل</t>
  </si>
  <si>
    <t>37 m2</t>
  </si>
  <si>
    <t>بياض تخشين أسقف</t>
  </si>
  <si>
    <t>عدد 1 مبيض+1موان+2عامل</t>
  </si>
  <si>
    <t>30 m2</t>
  </si>
  <si>
    <t>بياض تخشين أسفال</t>
  </si>
  <si>
    <t>38 m2</t>
  </si>
  <si>
    <t>البطانة</t>
  </si>
  <si>
    <t>أعمال بياض خارجى</t>
  </si>
  <si>
    <t>عدد 1 مبيض+1موان+2عامل+1 نجار</t>
  </si>
  <si>
    <t>20 m2</t>
  </si>
  <si>
    <t>أعمال الطرطشة والبؤج  فى البياض الخارجى هى نفسها فى البياض الداخلى وينخفض معدل الاداء25%</t>
  </si>
  <si>
    <t>الضهارة</t>
  </si>
  <si>
    <t>32 m2</t>
  </si>
  <si>
    <t>أرضيات رخام</t>
  </si>
  <si>
    <t>أعمال رخام</t>
  </si>
  <si>
    <t>عدد 1 مرخماتى +2 عامل</t>
  </si>
  <si>
    <t>15 m2</t>
  </si>
  <si>
    <t>درج رخام</t>
  </si>
  <si>
    <t>عدد 1 مرخماتى +2 عامل +1/2 نحات</t>
  </si>
  <si>
    <t>25 l.m</t>
  </si>
  <si>
    <t>كسوة حوائط رخام داخلية</t>
  </si>
  <si>
    <t>5 m2</t>
  </si>
  <si>
    <t>كسوة حوائط رخام خارجية</t>
  </si>
  <si>
    <t>عدد 2 مرخماتى +3 عامل +1/2 نحات+1/2 نجار</t>
  </si>
  <si>
    <t>7 m2</t>
  </si>
  <si>
    <t>بلاط أسمنتى</t>
  </si>
  <si>
    <t>أعمال البلاط</t>
  </si>
  <si>
    <t>عدد 1 مبلط +2 عامل</t>
  </si>
  <si>
    <t>40 m2</t>
  </si>
  <si>
    <t>بلاط موزايكو</t>
  </si>
  <si>
    <t>بلاط أرصفة</t>
  </si>
  <si>
    <t>أعمال بلاط أرصفة</t>
  </si>
  <si>
    <t>عدد 1 مبلط +1 مساعد+2 عامل</t>
  </si>
  <si>
    <t>أرضيات سيراميك</t>
  </si>
  <si>
    <t>أعمال سيراميك</t>
  </si>
  <si>
    <t>حوائط سيراميك</t>
  </si>
  <si>
    <t>12 m2</t>
  </si>
  <si>
    <t>العلفة</t>
  </si>
  <si>
    <t>أعمال أرضيات خشب موسكى</t>
  </si>
  <si>
    <t>معدل أداء الارضيات الخشبية 20 م2 / 5 يوم ويتم تنفيذها ب 3.6 رجل ساعة/م3</t>
  </si>
  <si>
    <t>الردم</t>
  </si>
  <si>
    <t>عدد 1 عامل</t>
  </si>
  <si>
    <t>معدل أداء الارضيات الخشبية 20 م2 / 5 يوم ويتم تنفيذها ب 3.6 رجل ساعة/م4</t>
  </si>
  <si>
    <t>التطبيق</t>
  </si>
  <si>
    <t>معدل أداء الارضيات الخشبية 20 م2 / 5 يوم ويتم تنفيذها ب 3.6 رجل ساعة/م5</t>
  </si>
  <si>
    <t>قسط و تركيب وزرة</t>
  </si>
  <si>
    <t>عدد 2 نجار + 1 مساعد</t>
  </si>
  <si>
    <t>معدل أداء الارضيات الخشبية 20 م2 / 5 يوم ويتم تنفيذها ب 3.6 رجل ساعة/م6</t>
  </si>
  <si>
    <t>الدهان</t>
  </si>
  <si>
    <t>عدد 1/2 نقاش +1/2 مساعد</t>
  </si>
  <si>
    <t>معدل أداء الارضيات الخشبية 20 م2 / 5 يوم ويتم تنفيذها ب 3.6 رجل ساعة/م7</t>
  </si>
  <si>
    <t>معجون  وجه أول</t>
  </si>
  <si>
    <t>أعمال الدهانات</t>
  </si>
  <si>
    <t>عدد 2 نقاش + 1 مساعد</t>
  </si>
  <si>
    <t>معدل أداء دهان الحوائط 100 م2 / 8 يوم ويتم تنفيذهم بعدد 132 رجل ساعة</t>
  </si>
  <si>
    <t>صنفرة</t>
  </si>
  <si>
    <t>عدد 2 عامل</t>
  </si>
  <si>
    <t>معجون  وجه ثانى</t>
  </si>
  <si>
    <t>بطانة</t>
  </si>
  <si>
    <t>عدد 1 نقاش + 1 مساعد</t>
  </si>
  <si>
    <t>التلقيط و المعالجة</t>
  </si>
  <si>
    <t xml:space="preserve">عدد 1/2 نقاش </t>
  </si>
  <si>
    <t>دهان وجه أول</t>
  </si>
  <si>
    <t>دهان وجه ثانى</t>
  </si>
  <si>
    <t>حدادة</t>
  </si>
  <si>
    <t>أعمال الشبك الممدد</t>
  </si>
  <si>
    <t>عدد 1 حداد+2عامل+1/2 نحات+1/2 خشاب</t>
  </si>
  <si>
    <t>عدد 1 مبيض + 2 عامل</t>
  </si>
  <si>
    <t>10 m2</t>
  </si>
  <si>
    <t>بلاطات 60*60 سم</t>
  </si>
  <si>
    <t>أعمال الاسقف المعلقة</t>
  </si>
  <si>
    <t>عدد 2 فنى+2 مساعد</t>
  </si>
  <si>
    <t>التشغيل و التجميع</t>
  </si>
  <si>
    <t>أعمال الالومنيوم</t>
  </si>
  <si>
    <t>عدد 10 عامل فنى+9 مساعد</t>
  </si>
  <si>
    <t>900 l.m</t>
  </si>
  <si>
    <t>تركيب و تسكيك</t>
  </si>
  <si>
    <t>عدد 4 عامل فنى+4 مساعد</t>
  </si>
  <si>
    <t>تركيب مواسير الزهر</t>
  </si>
  <si>
    <t>السباكة الداخلية</t>
  </si>
  <si>
    <t>عدد 1 سباك + 2 عامل</t>
  </si>
  <si>
    <t>نصف حمام</t>
  </si>
  <si>
    <t>تركيب مواسير حديد و رصاص</t>
  </si>
  <si>
    <t>ثلث حمام</t>
  </si>
  <si>
    <t>تركيب الاجهزة الصحية</t>
  </si>
  <si>
    <t>مد وتركيب خطوط</t>
  </si>
  <si>
    <t>السباكة الخارجية</t>
  </si>
  <si>
    <t>عدد 1 سباك + 5 عامل + نصف مساح</t>
  </si>
  <si>
    <t>15 l.m</t>
  </si>
  <si>
    <t>غرف تفتيش</t>
  </si>
  <si>
    <t>عدد 1 بناء + 1 مبيض + 5 عامل +1/2 مشرف</t>
  </si>
  <si>
    <t>عدد 3 غرف</t>
  </si>
  <si>
    <t>خوازيق دق نظام فيبرو (ماكينات البخار)</t>
  </si>
  <si>
    <t>أعمال الخوازيق</t>
  </si>
  <si>
    <t>عدد 13 عامل مشغل+5 فرقة صب</t>
  </si>
  <si>
    <t>عدد 4 خازوق</t>
  </si>
  <si>
    <t>القطر 20" : 24" بمتوسط طول 12:15 م.ط         تربة طفلية وطينية</t>
  </si>
  <si>
    <t>خوازيق دق  (ماكينات ضغط الهواء)</t>
  </si>
  <si>
    <t>عدد 5 عامل مشغل+9 فرقة صب</t>
  </si>
  <si>
    <t>خوازيق دق  الماكينة الجديدة لبتروجيت</t>
  </si>
  <si>
    <t>عدد 8 خازوق</t>
  </si>
  <si>
    <t>تربة طفلية و طينية</t>
  </si>
  <si>
    <t>خوازيق حفر دوار</t>
  </si>
  <si>
    <t>عدد 8 عامل مشغل + 9 فرقة صب</t>
  </si>
  <si>
    <t>عدد 5 خوازيق</t>
  </si>
  <si>
    <t>أقطار 20" متوسط الطول 18 م.ط        تربة طفلية و طينية</t>
  </si>
  <si>
    <t>خوازيق ستراوس</t>
  </si>
  <si>
    <t>عدد 8 عامل مشغل + 5 فرقة صب</t>
  </si>
  <si>
    <t>عدد 1 خوازيق</t>
  </si>
  <si>
    <t>أقطار16" متوسط الطول 18 م.ط         تربة طفلية وطينية</t>
  </si>
  <si>
    <t>حفر وتسوية</t>
  </si>
  <si>
    <t>أعمال الطرق</t>
  </si>
  <si>
    <t>عدد 1 حفار+2 قلاب+1 مساح+1 مساعد</t>
  </si>
  <si>
    <t>70 m3</t>
  </si>
  <si>
    <t xml:space="preserve">  </t>
  </si>
  <si>
    <t>أعمال الردم</t>
  </si>
  <si>
    <t>عدد 1 لودر+3قلاب+1هراس+1مساح+2 مساعد</t>
  </si>
  <si>
    <t>115 m3</t>
  </si>
  <si>
    <t>طبقة الاساس</t>
  </si>
  <si>
    <t>عدد 1 لودر+4قلاب+1هراس+1مساح+1 مساعد+1تريللا مياه</t>
  </si>
  <si>
    <t>550 m2</t>
  </si>
  <si>
    <t>متوسط سمك الطبقة 25 سم</t>
  </si>
  <si>
    <t>طبقة مكرام</t>
  </si>
  <si>
    <t>عدد 1 جريدر+1هراس+4قلاب+1مساح+1مساعد</t>
  </si>
  <si>
    <t>500 m2</t>
  </si>
  <si>
    <t>طبقة أسفلت سمك 6 سم</t>
  </si>
  <si>
    <t>طبقة M25</t>
  </si>
  <si>
    <t>عدد 1 غلاية+2 عامل+1 مساعد</t>
  </si>
  <si>
    <t>1000 m2</t>
  </si>
  <si>
    <t>طبقة رابطة</t>
  </si>
  <si>
    <t>عدد 1 فنشر+هراس+4قلاب+مساح+مساعد</t>
  </si>
  <si>
    <t>1500:3000</t>
  </si>
  <si>
    <t>طبقة أسفلت سمك 5 سم</t>
  </si>
  <si>
    <t>طبقة RC2</t>
  </si>
  <si>
    <t>غلاية + 2 عامل + مساعد</t>
  </si>
  <si>
    <t>1000 M2</t>
  </si>
  <si>
    <t>طبقة سطخية</t>
  </si>
  <si>
    <t>فنشر+هراس+4 قلاب+مساح+2مساعد</t>
  </si>
  <si>
    <t>700 m3</t>
  </si>
  <si>
    <t>طبقة أسفلت سمك 4 سم</t>
  </si>
  <si>
    <t>مصنعية تركيب سيراميك للحوائط  بمادة</t>
  </si>
  <si>
    <t xml:space="preserve">نجارة + حداده </t>
  </si>
  <si>
    <t>صب</t>
  </si>
  <si>
    <t xml:space="preserve">نجارة + حداده  </t>
  </si>
  <si>
    <t>بدروم</t>
  </si>
  <si>
    <t>ارضى</t>
  </si>
  <si>
    <t>اول</t>
  </si>
  <si>
    <t>ثانى</t>
  </si>
  <si>
    <t>ثالث</t>
  </si>
  <si>
    <t>رابع</t>
  </si>
  <si>
    <t>25×12×6 سم</t>
  </si>
  <si>
    <t>سعر المقايسة (بعد خصم 5%)</t>
  </si>
  <si>
    <t>الفئة
جنيه</t>
  </si>
  <si>
    <t>مصنعيات
230جنيه/الالف</t>
  </si>
  <si>
    <t>نقل و تعتيق داخل المشروع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</si>
</sst>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0.0"/>
    <numFmt numFmtId="165" formatCode="0.000"/>
    <numFmt numFmtId="166" formatCode="#,##0.0"/>
    <numFmt numFmtId="167" formatCode="0.0000"/>
  </numFmts>
  <fonts count="137" x14ac:knownFonts="1">
    <font>
      <sz val="11"/>
      <color theme="1"/>
      <name val="Calibri"/>
      <family val="2"/>
      <scheme val="minor"/>
    </font>
    <font>
      <sz val="11"/>
      <color theme="1"/>
      <name val="Calibri"/>
      <family val="2"/>
      <scheme val="minor"/>
    </font>
    <font>
      <b/>
      <sz val="22"/>
      <color theme="1"/>
      <name val="Traditional Arabic"/>
      <family val="1"/>
    </font>
    <font>
      <b/>
      <sz val="22"/>
      <color theme="1"/>
      <name val="Calibri"/>
      <family val="2"/>
      <scheme val="minor"/>
    </font>
    <font>
      <b/>
      <sz val="16"/>
      <color theme="1"/>
      <name val="Calibri"/>
      <family val="2"/>
      <scheme val="minor"/>
    </font>
    <font>
      <b/>
      <sz val="20"/>
      <color theme="1"/>
      <name val="Times New Roman"/>
      <family val="1"/>
    </font>
    <font>
      <b/>
      <sz val="16"/>
      <color rgb="FFFF0000"/>
      <name val="Calibri"/>
      <family val="2"/>
      <scheme val="minor"/>
    </font>
    <font>
      <b/>
      <sz val="20"/>
      <color theme="1"/>
      <name val="Calibri"/>
      <family val="2"/>
      <scheme val="minor"/>
    </font>
    <font>
      <b/>
      <sz val="16"/>
      <color theme="1"/>
      <name val="Times New Roman"/>
      <family val="1"/>
    </font>
    <font>
      <b/>
      <sz val="8"/>
      <color indexed="81"/>
      <name val="Tahoma"/>
      <family val="2"/>
    </font>
    <font>
      <sz val="8"/>
      <color indexed="81"/>
      <name val="Tahoma"/>
      <family val="2"/>
    </font>
    <font>
      <sz val="12"/>
      <color indexed="81"/>
      <name val="Tahoma"/>
      <family val="2"/>
    </font>
    <font>
      <b/>
      <sz val="12"/>
      <color indexed="81"/>
      <name val="Tahoma"/>
      <family val="2"/>
    </font>
    <font>
      <sz val="14"/>
      <color indexed="81"/>
      <name val="Tahoma"/>
      <family val="2"/>
    </font>
    <font>
      <b/>
      <sz val="14"/>
      <color indexed="81"/>
      <name val="Tahoma"/>
      <family val="2"/>
    </font>
    <font>
      <b/>
      <sz val="14"/>
      <color theme="1"/>
      <name val="Traditional Arabic"/>
      <family val="1"/>
    </font>
    <font>
      <b/>
      <i/>
      <u/>
      <sz val="14"/>
      <color theme="1"/>
      <name val="Times New Roman"/>
      <family val="1"/>
    </font>
    <font>
      <b/>
      <sz val="14"/>
      <color theme="1"/>
      <name val="Times New Roman"/>
      <family val="1"/>
    </font>
    <font>
      <b/>
      <sz val="14"/>
      <color theme="1"/>
      <name val="Calibri"/>
      <family val="2"/>
      <scheme val="minor"/>
    </font>
    <font>
      <b/>
      <sz val="12"/>
      <color theme="1"/>
      <name val="Times New Roman"/>
      <family val="1"/>
    </font>
    <font>
      <b/>
      <sz val="16"/>
      <name val="Calibri"/>
      <family val="2"/>
      <scheme val="minor"/>
    </font>
    <font>
      <b/>
      <sz val="14"/>
      <name val="Times New Roman"/>
      <family val="1"/>
    </font>
    <font>
      <b/>
      <sz val="14"/>
      <name val="Calibri"/>
      <family val="2"/>
      <scheme val="minor"/>
    </font>
    <font>
      <b/>
      <sz val="20"/>
      <name val="Calibri"/>
      <family val="2"/>
      <scheme val="minor"/>
    </font>
    <font>
      <b/>
      <sz val="20"/>
      <name val="Times New Roman"/>
      <family val="1"/>
    </font>
    <font>
      <sz val="16"/>
      <color theme="1"/>
      <name val="Times New Roman"/>
      <family val="1"/>
    </font>
    <font>
      <u/>
      <sz val="22"/>
      <color rgb="FF0000FF"/>
      <name val="Andalus"/>
      <family val="1"/>
    </font>
    <font>
      <sz val="18"/>
      <color theme="1"/>
      <name val="Andalus"/>
      <family val="1"/>
    </font>
    <font>
      <sz val="16"/>
      <color theme="1"/>
      <name val="Calibri"/>
      <family val="2"/>
      <scheme val="minor"/>
    </font>
    <font>
      <b/>
      <i/>
      <u/>
      <sz val="20"/>
      <color theme="1"/>
      <name val="Times New Roman"/>
      <family val="1"/>
    </font>
    <font>
      <u/>
      <sz val="11"/>
      <color theme="10"/>
      <name val="Arial"/>
      <family val="2"/>
    </font>
    <font>
      <b/>
      <sz val="20"/>
      <color theme="1"/>
      <name val="Traditional Arabic"/>
      <family val="1"/>
    </font>
    <font>
      <b/>
      <u/>
      <sz val="20"/>
      <color theme="1"/>
      <name val="Arial"/>
      <family val="2"/>
    </font>
    <font>
      <sz val="20"/>
      <color theme="1"/>
      <name val="Calibri"/>
      <family val="2"/>
      <scheme val="minor"/>
    </font>
    <font>
      <u/>
      <sz val="20"/>
      <color theme="10"/>
      <name val="Arial"/>
      <family val="2"/>
    </font>
    <font>
      <b/>
      <u/>
      <sz val="20"/>
      <color theme="1"/>
      <name val="Times New Roman"/>
      <family val="1"/>
    </font>
    <font>
      <sz val="20"/>
      <color theme="1"/>
      <name val="Times New Roman"/>
      <family val="1"/>
    </font>
    <font>
      <b/>
      <u/>
      <sz val="20"/>
      <name val="Arial"/>
      <family val="2"/>
    </font>
    <font>
      <sz val="10"/>
      <name val="Arial"/>
      <family val="2"/>
    </font>
    <font>
      <sz val="20"/>
      <name val="Arial"/>
      <family val="2"/>
    </font>
    <font>
      <b/>
      <sz val="22"/>
      <name val="Arial"/>
      <family val="2"/>
    </font>
    <font>
      <b/>
      <sz val="24"/>
      <color rgb="FFFF0000"/>
      <name val="Traditional Arabic"/>
      <family val="1"/>
    </font>
    <font>
      <b/>
      <sz val="24"/>
      <color theme="1"/>
      <name val="Times New Roman"/>
      <family val="1"/>
    </font>
    <font>
      <b/>
      <sz val="24"/>
      <color indexed="81"/>
      <name val="Tahoma"/>
      <family val="2"/>
    </font>
    <font>
      <sz val="24"/>
      <color indexed="81"/>
      <name val="Tahoma"/>
      <family val="2"/>
    </font>
    <font>
      <b/>
      <sz val="18"/>
      <color theme="1"/>
      <name val="Traditional Arabic"/>
      <family val="1"/>
    </font>
    <font>
      <b/>
      <i/>
      <u/>
      <sz val="18"/>
      <color theme="1"/>
      <name val="Times New Roman"/>
      <family val="1"/>
    </font>
    <font>
      <b/>
      <sz val="18"/>
      <color theme="1"/>
      <name val="Calibri"/>
      <family val="2"/>
      <scheme val="minor"/>
    </font>
    <font>
      <b/>
      <sz val="18"/>
      <color theme="1"/>
      <name val="Times New Roman"/>
      <family val="1"/>
    </font>
    <font>
      <b/>
      <sz val="24"/>
      <color theme="1"/>
      <name val="Calibri"/>
      <family val="2"/>
      <scheme val="minor"/>
    </font>
    <font>
      <b/>
      <sz val="26"/>
      <color theme="1"/>
      <name val="Calibri"/>
      <family val="2"/>
      <scheme val="minor"/>
    </font>
    <font>
      <b/>
      <sz val="26"/>
      <color theme="1"/>
      <name val="Times New Roman"/>
      <family val="1"/>
    </font>
    <font>
      <sz val="20"/>
      <name val="Calibri"/>
      <family val="2"/>
      <scheme val="minor"/>
    </font>
    <font>
      <u/>
      <sz val="22"/>
      <name val="Arial"/>
      <family val="2"/>
    </font>
    <font>
      <b/>
      <sz val="28"/>
      <color theme="1"/>
      <name val="Calibri"/>
      <family val="2"/>
      <scheme val="minor"/>
    </font>
    <font>
      <b/>
      <sz val="36"/>
      <color theme="1"/>
      <name val="Traditional Arabic"/>
      <family val="1"/>
    </font>
    <font>
      <b/>
      <sz val="36"/>
      <color theme="1"/>
      <name val="Calibri"/>
      <family val="2"/>
      <scheme val="minor"/>
    </font>
    <font>
      <b/>
      <sz val="11"/>
      <color theme="1"/>
      <name val="Calibri"/>
      <family val="2"/>
      <scheme val="minor"/>
    </font>
    <font>
      <b/>
      <sz val="14"/>
      <color rgb="FFC00000"/>
      <name val="Arial"/>
      <family val="2"/>
    </font>
    <font>
      <b/>
      <sz val="14"/>
      <color rgb="FF002060"/>
      <name val="Arial"/>
      <family val="2"/>
    </font>
    <font>
      <b/>
      <sz val="14"/>
      <color rgb="FF7030A0"/>
      <name val="Arial"/>
      <family val="2"/>
    </font>
    <font>
      <b/>
      <sz val="14"/>
      <color rgb="FFC00000"/>
      <name val="Calibri"/>
      <family val="2"/>
      <scheme val="minor"/>
    </font>
    <font>
      <b/>
      <sz val="14"/>
      <color rgb="FF002060"/>
      <name val="Calibri"/>
      <family val="2"/>
      <scheme val="minor"/>
    </font>
    <font>
      <b/>
      <sz val="14"/>
      <color rgb="FF7030A0"/>
      <name val="Calibri"/>
      <family val="2"/>
      <scheme val="minor"/>
    </font>
    <font>
      <b/>
      <sz val="20"/>
      <color rgb="FFC00000"/>
      <name val="Calibri"/>
      <family val="2"/>
      <scheme val="minor"/>
    </font>
    <font>
      <b/>
      <sz val="20"/>
      <color rgb="FF7030A0"/>
      <name val="Calibri"/>
      <family val="2"/>
      <scheme val="minor"/>
    </font>
    <font>
      <b/>
      <sz val="26"/>
      <color rgb="FFC00000"/>
      <name val="Calibri"/>
      <family val="2"/>
      <scheme val="minor"/>
    </font>
    <font>
      <b/>
      <sz val="20"/>
      <color rgb="FF002060"/>
      <name val="Calibri"/>
      <family val="2"/>
      <scheme val="minor"/>
    </font>
    <font>
      <b/>
      <sz val="18"/>
      <color rgb="FF002060"/>
      <name val="Calibri"/>
      <family val="2"/>
      <scheme val="minor"/>
    </font>
    <font>
      <b/>
      <sz val="24"/>
      <color rgb="FF002060"/>
      <name val="Calibri"/>
      <family val="2"/>
      <scheme val="minor"/>
    </font>
    <font>
      <b/>
      <sz val="22"/>
      <color rgb="FFC00000"/>
      <name val="Calibri"/>
      <family val="2"/>
      <scheme val="minor"/>
    </font>
    <font>
      <b/>
      <sz val="20"/>
      <color rgb="FFC00000"/>
      <name val="Arial"/>
      <family val="2"/>
    </font>
    <font>
      <b/>
      <sz val="20"/>
      <color rgb="FF002060"/>
      <name val="Arial"/>
      <family val="2"/>
    </font>
    <font>
      <b/>
      <sz val="16"/>
      <color rgb="FFC00000"/>
      <name val="Calibri"/>
      <family val="2"/>
      <scheme val="minor"/>
    </font>
    <font>
      <b/>
      <sz val="22"/>
      <color theme="1"/>
      <name val="Times New Roman"/>
      <family val="1"/>
    </font>
    <font>
      <b/>
      <sz val="28"/>
      <color theme="1"/>
      <name val="Times New Roman"/>
      <family val="1"/>
    </font>
    <font>
      <b/>
      <sz val="36"/>
      <color theme="1"/>
      <name val="Times New Roman"/>
      <family val="1"/>
    </font>
    <font>
      <b/>
      <sz val="14"/>
      <color theme="6" tint="-0.249977111117893"/>
      <name val="Arial"/>
      <family val="2"/>
    </font>
    <font>
      <b/>
      <sz val="24"/>
      <color theme="1"/>
      <name val="Traditional Arabic"/>
      <family val="1"/>
    </font>
    <font>
      <sz val="24"/>
      <color theme="1"/>
      <name val="Calibri"/>
      <family val="2"/>
      <scheme val="minor"/>
    </font>
    <font>
      <b/>
      <i/>
      <u/>
      <sz val="26"/>
      <color theme="1"/>
      <name val="Times New Roman"/>
      <family val="1"/>
    </font>
    <font>
      <sz val="26"/>
      <color theme="1"/>
      <name val="Calibri"/>
      <family val="2"/>
      <scheme val="minor"/>
    </font>
    <font>
      <b/>
      <sz val="24"/>
      <color theme="0"/>
      <name val="Traditional Arabic"/>
      <family val="1"/>
    </font>
    <font>
      <b/>
      <sz val="22"/>
      <color rgb="FFFF0000"/>
      <name val="Calibri"/>
      <family val="2"/>
      <scheme val="minor"/>
    </font>
    <font>
      <b/>
      <sz val="28"/>
      <name val="Calibri"/>
      <family val="2"/>
      <scheme val="minor"/>
    </font>
    <font>
      <sz val="22"/>
      <color rgb="FFFFFFFF"/>
      <name val="Calibri"/>
      <family val="2"/>
    </font>
    <font>
      <b/>
      <sz val="36"/>
      <name val="Calibri"/>
      <family val="2"/>
      <scheme val="minor"/>
    </font>
    <font>
      <b/>
      <u/>
      <sz val="36"/>
      <color theme="1"/>
      <name val="Calibri"/>
      <family val="2"/>
      <scheme val="minor"/>
    </font>
    <font>
      <b/>
      <u/>
      <sz val="36"/>
      <color theme="1"/>
      <name val="Times New Roman"/>
      <family val="1"/>
    </font>
    <font>
      <b/>
      <u/>
      <sz val="48"/>
      <color theme="1"/>
      <name val="Times New Roman"/>
      <family val="1"/>
    </font>
    <font>
      <b/>
      <u/>
      <sz val="48"/>
      <color theme="1"/>
      <name val="Calibri"/>
      <family val="2"/>
      <scheme val="minor"/>
    </font>
    <font>
      <b/>
      <sz val="26"/>
      <name val="Times New Roman"/>
      <family val="1"/>
    </font>
    <font>
      <b/>
      <sz val="26"/>
      <name val="Calibri"/>
      <family val="2"/>
      <scheme val="minor"/>
    </font>
    <font>
      <b/>
      <sz val="26"/>
      <color theme="1"/>
      <name val="Traditional Arabic"/>
      <family val="1"/>
    </font>
    <font>
      <b/>
      <i/>
      <u/>
      <sz val="36"/>
      <color theme="1"/>
      <name val="Times New Roman"/>
      <family val="1"/>
    </font>
    <font>
      <b/>
      <sz val="26"/>
      <color rgb="FFFF0000"/>
      <name val="Calibri"/>
      <family val="2"/>
      <scheme val="minor"/>
    </font>
    <font>
      <b/>
      <sz val="26"/>
      <color rgb="FF0000FF"/>
      <name val="Calibri"/>
      <family val="2"/>
      <scheme val="minor"/>
    </font>
    <font>
      <b/>
      <i/>
      <sz val="26"/>
      <color theme="1"/>
      <name val="Calibri"/>
      <family val="2"/>
      <scheme val="minor"/>
    </font>
    <font>
      <sz val="26"/>
      <color theme="1"/>
      <name val="Times New Roman"/>
      <family val="1"/>
    </font>
    <font>
      <b/>
      <sz val="24"/>
      <color rgb="FFFF0000"/>
      <name val="Times New Roman"/>
      <family val="1"/>
    </font>
    <font>
      <b/>
      <sz val="20"/>
      <color rgb="FFFF0000"/>
      <name val="Times New Roman"/>
      <family val="1"/>
    </font>
    <font>
      <sz val="20"/>
      <color rgb="FFFF0000"/>
      <name val="Times New Roman"/>
      <family val="1"/>
    </font>
    <font>
      <b/>
      <sz val="20"/>
      <color theme="4"/>
      <name val="Times New Roman"/>
      <family val="1"/>
    </font>
    <font>
      <b/>
      <sz val="26"/>
      <color rgb="FFFF0000"/>
      <name val="Times New Roman"/>
      <family val="1"/>
    </font>
    <font>
      <b/>
      <sz val="36"/>
      <color rgb="FFFF0000"/>
      <name val="Calibri"/>
      <family val="2"/>
      <scheme val="minor"/>
    </font>
    <font>
      <b/>
      <sz val="24"/>
      <color rgb="FF002060"/>
      <name val="Arial"/>
      <family val="2"/>
    </font>
    <font>
      <b/>
      <sz val="26"/>
      <color rgb="FF002060"/>
      <name val="Arial"/>
      <family val="2"/>
    </font>
    <font>
      <b/>
      <sz val="20"/>
      <color rgb="FF0070C0"/>
      <name val="Calibri"/>
      <family val="2"/>
      <scheme val="minor"/>
    </font>
    <font>
      <b/>
      <sz val="20"/>
      <color theme="3"/>
      <name val="Times New Roman"/>
      <family val="1"/>
    </font>
    <font>
      <b/>
      <sz val="20"/>
      <color rgb="FFFF0000"/>
      <name val="Calibri"/>
      <family val="2"/>
      <scheme val="minor"/>
    </font>
    <font>
      <sz val="28"/>
      <color theme="1"/>
      <name val="Andalus"/>
      <family val="1"/>
    </font>
    <font>
      <u/>
      <sz val="28"/>
      <color rgb="FF0000FF"/>
      <name val="Andalus"/>
      <family val="1"/>
    </font>
    <font>
      <b/>
      <sz val="22"/>
      <color rgb="FF002060"/>
      <name val="Arial"/>
      <family val="2"/>
    </font>
    <font>
      <b/>
      <sz val="28"/>
      <color rgb="FF002060"/>
      <name val="Arial"/>
      <family val="2"/>
    </font>
    <font>
      <b/>
      <sz val="24"/>
      <color rgb="FFFF0000"/>
      <name val="Arial"/>
      <family val="2"/>
    </font>
    <font>
      <b/>
      <sz val="14"/>
      <color rgb="FFFF0000"/>
      <name val="Calibri"/>
      <family val="2"/>
      <scheme val="minor"/>
    </font>
    <font>
      <u/>
      <sz val="26"/>
      <color theme="1"/>
      <name val="Calibri"/>
      <family val="2"/>
      <scheme val="minor"/>
    </font>
    <font>
      <b/>
      <u/>
      <sz val="16"/>
      <color theme="1"/>
      <name val="Calibri"/>
      <family val="2"/>
      <scheme val="minor"/>
    </font>
    <font>
      <u/>
      <sz val="24"/>
      <color theme="1"/>
      <name val="Calibri"/>
      <family val="2"/>
      <scheme val="minor"/>
    </font>
    <font>
      <b/>
      <sz val="12"/>
      <color theme="1"/>
      <name val="Calibri"/>
      <family val="2"/>
      <scheme val="minor"/>
    </font>
    <font>
      <sz val="14"/>
      <color theme="1"/>
      <name val="Calibri"/>
      <family val="2"/>
      <scheme val="minor"/>
    </font>
    <font>
      <b/>
      <u/>
      <sz val="14"/>
      <color theme="1"/>
      <name val="Calibri"/>
      <family val="2"/>
      <scheme val="minor"/>
    </font>
    <font>
      <b/>
      <u/>
      <sz val="20"/>
      <color theme="1"/>
      <name val="Calibri"/>
      <family val="2"/>
      <scheme val="minor"/>
    </font>
    <font>
      <b/>
      <u/>
      <sz val="26"/>
      <color theme="1"/>
      <name val="Calibri"/>
      <family val="2"/>
      <scheme val="minor"/>
    </font>
    <font>
      <b/>
      <u/>
      <sz val="18"/>
      <color theme="1"/>
      <name val="Calibri"/>
      <family val="2"/>
      <scheme val="minor"/>
    </font>
    <font>
      <b/>
      <sz val="16"/>
      <color indexed="10"/>
      <name val="Arial"/>
      <family val="2"/>
    </font>
    <font>
      <b/>
      <sz val="10"/>
      <color indexed="8"/>
      <name val="Arial"/>
      <family val="2"/>
    </font>
    <font>
      <b/>
      <sz val="10"/>
      <color indexed="9"/>
      <name val="Arial"/>
      <family val="2"/>
    </font>
    <font>
      <b/>
      <sz val="10"/>
      <color indexed="12"/>
      <name val="Arial"/>
      <family val="2"/>
    </font>
    <font>
      <b/>
      <sz val="10"/>
      <color indexed="10"/>
      <name val="Arial"/>
      <family val="2"/>
    </font>
    <font>
      <b/>
      <sz val="10"/>
      <color rgb="FFFF0000"/>
      <name val="Arial"/>
      <family val="2"/>
    </font>
    <font>
      <sz val="20"/>
      <color theme="1"/>
      <name val="Times New Roman"/>
      <family val="1"/>
    </font>
    <font>
      <b/>
      <sz val="36"/>
      <name val="Times New Roman"/>
      <family val="1"/>
    </font>
    <font>
      <b/>
      <sz val="22"/>
      <color theme="0"/>
      <name val="Calibri"/>
      <family val="2"/>
      <scheme val="minor"/>
    </font>
    <font>
      <b/>
      <sz val="22"/>
      <name val="Calibri"/>
      <family val="2"/>
      <scheme val="minor"/>
    </font>
    <font>
      <b/>
      <u/>
      <sz val="48"/>
      <name val="Times New Roman"/>
      <family val="1"/>
    </font>
    <font>
      <b/>
      <sz val="22"/>
      <name val="Times New Roman"/>
      <family val="1"/>
    </font>
  </fonts>
  <fills count="34">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rgb="FFFFFF00"/>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rgb="FFFF0000"/>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rgb="FFFFC000"/>
        <bgColor indexed="64"/>
      </patternFill>
    </fill>
    <fill>
      <patternFill patternType="solid">
        <fgColor theme="5" tint="0.59999389629810485"/>
        <bgColor indexed="64"/>
      </patternFill>
    </fill>
    <fill>
      <patternFill patternType="solid">
        <fgColor rgb="FFFFFDA9"/>
        <bgColor indexed="64"/>
      </patternFill>
    </fill>
    <fill>
      <patternFill patternType="solid">
        <fgColor rgb="FFFFFFCC"/>
        <bgColor indexed="64"/>
      </patternFill>
    </fill>
    <fill>
      <patternFill patternType="solid">
        <fgColor rgb="FFD3F9FD"/>
        <bgColor indexed="64"/>
      </patternFill>
    </fill>
    <fill>
      <patternFill patternType="solid">
        <fgColor theme="8" tint="0.79998168889431442"/>
        <bgColor indexed="64"/>
      </patternFill>
    </fill>
    <fill>
      <patternFill patternType="solid">
        <fgColor rgb="FFFAC6F8"/>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5" tint="-0.499984740745262"/>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rgb="FFFFFFFF"/>
        <bgColor indexed="64"/>
      </patternFill>
    </fill>
    <fill>
      <patternFill patternType="solid">
        <fgColor theme="5" tint="0.79998168889431442"/>
        <bgColor indexed="64"/>
      </patternFill>
    </fill>
    <fill>
      <patternFill patternType="solid">
        <fgColor theme="4"/>
        <bgColor indexed="64"/>
      </patternFill>
    </fill>
    <fill>
      <patternFill patternType="solid">
        <fgColor theme="4" tint="0.79998168889431442"/>
        <bgColor indexed="64"/>
      </patternFill>
    </fill>
    <fill>
      <patternFill patternType="solid">
        <fgColor theme="0"/>
        <bgColor theme="9" tint="0.79998168889431442"/>
      </patternFill>
    </fill>
    <fill>
      <patternFill patternType="solid">
        <fgColor rgb="FFFEF0FD"/>
        <bgColor indexed="64"/>
      </patternFill>
    </fill>
    <fill>
      <patternFill patternType="solid">
        <fgColor theme="7" tint="0.79998168889431442"/>
        <bgColor indexed="64"/>
      </patternFill>
    </fill>
    <fill>
      <patternFill patternType="solid">
        <fgColor theme="5" tint="0.79998168889431442"/>
        <bgColor theme="9" tint="0.79998168889431442"/>
      </patternFill>
    </fill>
    <fill>
      <patternFill patternType="solid">
        <fgColor indexed="13"/>
        <bgColor indexed="64"/>
      </patternFill>
    </fill>
    <fill>
      <patternFill patternType="solid">
        <fgColor indexed="15"/>
        <bgColor indexed="64"/>
      </patternFill>
    </fill>
    <fill>
      <patternFill patternType="solid">
        <fgColor indexed="8"/>
        <bgColor indexed="64"/>
      </patternFill>
    </fill>
    <fill>
      <patternFill patternType="solid">
        <fgColor indexed="41"/>
        <bgColor indexed="64"/>
      </patternFill>
    </fill>
  </fills>
  <borders count="119">
    <border>
      <left/>
      <right/>
      <top/>
      <bottom/>
      <diagonal/>
    </border>
    <border>
      <left style="medium">
        <color auto="1"/>
      </left>
      <right style="medium">
        <color auto="1"/>
      </right>
      <top style="medium">
        <color auto="1"/>
      </top>
      <bottom style="medium">
        <color auto="1"/>
      </bottom>
      <diagonal/>
    </border>
    <border>
      <left/>
      <right/>
      <top/>
      <bottom style="medium">
        <color indexed="64"/>
      </bottom>
      <diagonal/>
    </border>
    <border>
      <left style="medium">
        <color auto="1"/>
      </left>
      <right style="medium">
        <color auto="1"/>
      </right>
      <top/>
      <bottom/>
      <diagonal/>
    </border>
    <border>
      <left style="medium">
        <color auto="1"/>
      </left>
      <right style="medium">
        <color auto="1"/>
      </right>
      <top style="medium">
        <color auto="1"/>
      </top>
      <bottom style="hair">
        <color auto="1"/>
      </bottom>
      <diagonal/>
    </border>
    <border>
      <left style="medium">
        <color auto="1"/>
      </left>
      <right style="medium">
        <color auto="1"/>
      </right>
      <top style="hair">
        <color auto="1"/>
      </top>
      <bottom/>
      <diagonal/>
    </border>
    <border>
      <left style="medium">
        <color auto="1"/>
      </left>
      <right style="medium">
        <color auto="1"/>
      </right>
      <top style="double">
        <color auto="1"/>
      </top>
      <bottom style="hair">
        <color auto="1"/>
      </bottom>
      <diagonal/>
    </border>
    <border>
      <left style="medium">
        <color auto="1"/>
      </left>
      <right style="medium">
        <color auto="1"/>
      </right>
      <top style="hair">
        <color auto="1"/>
      </top>
      <bottom style="double">
        <color auto="1"/>
      </bottom>
      <diagonal/>
    </border>
    <border>
      <left style="medium">
        <color auto="1"/>
      </left>
      <right style="medium">
        <color auto="1"/>
      </right>
      <top/>
      <bottom style="hair">
        <color auto="1"/>
      </bottom>
      <diagonal/>
    </border>
    <border>
      <left style="medium">
        <color auto="1"/>
      </left>
      <right style="medium">
        <color auto="1"/>
      </right>
      <top/>
      <bottom style="medium">
        <color indexed="64"/>
      </bottom>
      <diagonal/>
    </border>
    <border>
      <left style="medium">
        <color auto="1"/>
      </left>
      <right style="medium">
        <color auto="1"/>
      </right>
      <top style="hair">
        <color auto="1"/>
      </top>
      <bottom style="medium">
        <color indexed="64"/>
      </bottom>
      <diagonal/>
    </border>
    <border>
      <left style="medium">
        <color auto="1"/>
      </left>
      <right/>
      <top style="medium">
        <color indexed="64"/>
      </top>
      <bottom style="medium">
        <color indexed="64"/>
      </bottom>
      <diagonal/>
    </border>
    <border>
      <left/>
      <right/>
      <top style="medium">
        <color indexed="64"/>
      </top>
      <bottom style="medium">
        <color indexed="64"/>
      </bottom>
      <diagonal/>
    </border>
    <border>
      <left/>
      <right style="medium">
        <color auto="1"/>
      </right>
      <top style="medium">
        <color indexed="64"/>
      </top>
      <bottom style="medium">
        <color indexed="64"/>
      </bottom>
      <diagonal/>
    </border>
    <border>
      <left/>
      <right/>
      <top style="medium">
        <color indexed="64"/>
      </top>
      <bottom/>
      <diagonal/>
    </border>
    <border>
      <left style="medium">
        <color auto="1"/>
      </left>
      <right style="medium">
        <color auto="1"/>
      </right>
      <top style="medium">
        <color auto="1"/>
      </top>
      <bottom/>
      <diagonal/>
    </border>
    <border>
      <left/>
      <right style="medium">
        <color auto="1"/>
      </right>
      <top/>
      <bottom style="medium">
        <color indexed="64"/>
      </bottom>
      <diagonal/>
    </border>
    <border>
      <left style="medium">
        <color auto="1"/>
      </left>
      <right style="medium">
        <color auto="1"/>
      </right>
      <top style="hair">
        <color auto="1"/>
      </top>
      <bottom style="hair">
        <color auto="1"/>
      </bottom>
      <diagonal/>
    </border>
    <border>
      <left style="medium">
        <color auto="1"/>
      </left>
      <right style="medium">
        <color auto="1"/>
      </right>
      <top/>
      <bottom style="double">
        <color auto="1"/>
      </bottom>
      <diagonal/>
    </border>
    <border>
      <left style="thin">
        <color indexed="64"/>
      </left>
      <right style="thin">
        <color indexed="64"/>
      </right>
      <top style="thin">
        <color indexed="64"/>
      </top>
      <bottom style="thin">
        <color indexed="64"/>
      </bottom>
      <diagonal/>
    </border>
    <border>
      <left style="medium">
        <color auto="1"/>
      </left>
      <right style="medium">
        <color auto="1"/>
      </right>
      <top style="hair">
        <color auto="1"/>
      </top>
      <bottom style="thin">
        <color indexed="64"/>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top style="thick">
        <color auto="1"/>
      </top>
      <bottom style="thin">
        <color auto="1"/>
      </bottom>
      <diagonal/>
    </border>
    <border>
      <left/>
      <right style="thin">
        <color auto="1"/>
      </right>
      <top style="thick">
        <color auto="1"/>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top style="thin">
        <color indexed="64"/>
      </top>
      <bottom style="thin">
        <color indexed="64"/>
      </bottom>
      <diagonal/>
    </border>
    <border>
      <left style="thin">
        <color auto="1"/>
      </left>
      <right style="thick">
        <color auto="1"/>
      </right>
      <top/>
      <bottom style="thin">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thin">
        <color indexed="64"/>
      </bottom>
      <diagonal/>
    </border>
    <border>
      <left style="medium">
        <color auto="1"/>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ck">
        <color indexed="64"/>
      </bottom>
      <diagonal/>
    </border>
    <border>
      <left style="thick">
        <color auto="1"/>
      </left>
      <right/>
      <top style="thin">
        <color indexed="64"/>
      </top>
      <bottom style="thick">
        <color indexed="64"/>
      </bottom>
      <diagonal/>
    </border>
    <border>
      <left/>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medium">
        <color auto="1"/>
      </left>
      <right/>
      <top style="hair">
        <color auto="1"/>
      </top>
      <bottom style="hair">
        <color auto="1"/>
      </bottom>
      <diagonal/>
    </border>
    <border>
      <left style="thin">
        <color auto="1"/>
      </left>
      <right style="thick">
        <color auto="1"/>
      </right>
      <top style="thin">
        <color auto="1"/>
      </top>
      <bottom/>
      <diagonal/>
    </border>
    <border>
      <left style="thin">
        <color auto="1"/>
      </left>
      <right style="thick">
        <color auto="1"/>
      </right>
      <top/>
      <bottom/>
      <diagonal/>
    </border>
    <border>
      <left style="medium">
        <color indexed="64"/>
      </left>
      <right/>
      <top style="thin">
        <color auto="1"/>
      </top>
      <bottom style="thin">
        <color indexed="64"/>
      </bottom>
      <diagonal/>
    </border>
    <border>
      <left/>
      <right style="medium">
        <color indexed="64"/>
      </right>
      <top style="thin">
        <color auto="1"/>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auto="1"/>
      </right>
      <top style="thin">
        <color auto="1"/>
      </top>
      <bottom/>
      <diagonal/>
    </border>
    <border>
      <left style="medium">
        <color indexed="64"/>
      </left>
      <right style="thin">
        <color auto="1"/>
      </right>
      <top/>
      <bottom style="thin">
        <color auto="1"/>
      </bottom>
      <diagonal/>
    </border>
    <border>
      <left style="thin">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auto="1"/>
      </top>
      <bottom style="medium">
        <color indexed="64"/>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ck">
        <color indexed="64"/>
      </top>
      <bottom/>
      <diagonal/>
    </border>
    <border>
      <left style="thick">
        <color auto="1"/>
      </left>
      <right style="thin">
        <color auto="1"/>
      </right>
      <top style="thick">
        <color indexed="64"/>
      </top>
      <bottom/>
      <diagonal/>
    </border>
    <border>
      <left style="thick">
        <color auto="1"/>
      </left>
      <right style="thin">
        <color auto="1"/>
      </right>
      <top/>
      <bottom/>
      <diagonal/>
    </border>
    <border>
      <left style="thick">
        <color indexed="64"/>
      </left>
      <right/>
      <top/>
      <bottom/>
      <diagonal/>
    </border>
    <border>
      <left style="medium">
        <color indexed="64"/>
      </left>
      <right style="medium">
        <color auto="1"/>
      </right>
      <top style="thin">
        <color indexed="64"/>
      </top>
      <bottom style="thin">
        <color indexed="64"/>
      </bottom>
      <diagonal/>
    </border>
    <border>
      <left style="medium">
        <color auto="1"/>
      </left>
      <right style="medium">
        <color auto="1"/>
      </right>
      <top style="thin">
        <color indexed="64"/>
      </top>
      <bottom/>
      <diagonal/>
    </border>
    <border>
      <left style="medium">
        <color auto="1"/>
      </left>
      <right/>
      <top style="medium">
        <color indexed="64"/>
      </top>
      <bottom/>
      <diagonal/>
    </border>
    <border>
      <left style="medium">
        <color auto="1"/>
      </left>
      <right/>
      <top/>
      <bottom/>
      <diagonal/>
    </border>
    <border>
      <left style="medium">
        <color auto="1"/>
      </left>
      <right style="medium">
        <color auto="1"/>
      </right>
      <top style="thin">
        <color indexed="64"/>
      </top>
      <bottom style="medium">
        <color indexed="64"/>
      </bottom>
      <diagonal/>
    </border>
    <border>
      <left/>
      <right style="medium">
        <color auto="1"/>
      </right>
      <top style="medium">
        <color indexed="64"/>
      </top>
      <bottom/>
      <diagonal/>
    </border>
    <border>
      <left style="medium">
        <color auto="1"/>
      </left>
      <right/>
      <top/>
      <bottom style="hair">
        <color auto="1"/>
      </bottom>
      <diagonal/>
    </border>
    <border>
      <left style="medium">
        <color auto="1"/>
      </left>
      <right/>
      <top style="hair">
        <color auto="1"/>
      </top>
      <bottom style="thin">
        <color indexed="64"/>
      </bottom>
      <diagonal/>
    </border>
    <border>
      <left style="medium">
        <color auto="1"/>
      </left>
      <right/>
      <top style="thin">
        <color indexed="64"/>
      </top>
      <bottom/>
      <diagonal/>
    </border>
    <border>
      <left/>
      <right style="medium">
        <color auto="1"/>
      </right>
      <top/>
      <bottom style="hair">
        <color auto="1"/>
      </bottom>
      <diagonal/>
    </border>
    <border>
      <left/>
      <right style="medium">
        <color auto="1"/>
      </right>
      <top style="hair">
        <color auto="1"/>
      </top>
      <bottom style="hair">
        <color auto="1"/>
      </bottom>
      <diagonal/>
    </border>
    <border>
      <left/>
      <right style="medium">
        <color auto="1"/>
      </right>
      <top style="hair">
        <color auto="1"/>
      </top>
      <bottom style="thin">
        <color indexed="64"/>
      </bottom>
      <diagonal/>
    </border>
    <border>
      <left/>
      <right style="medium">
        <color auto="1"/>
      </right>
      <top style="thin">
        <color indexed="64"/>
      </top>
      <bottom/>
      <diagonal/>
    </border>
    <border>
      <left/>
      <right/>
      <top/>
      <bottom style="hair">
        <color auto="1"/>
      </bottom>
      <diagonal/>
    </border>
    <border>
      <left/>
      <right/>
      <top style="hair">
        <color auto="1"/>
      </top>
      <bottom style="hair">
        <color auto="1"/>
      </bottom>
      <diagonal/>
    </border>
    <border>
      <left/>
      <right/>
      <top style="hair">
        <color auto="1"/>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style="medium">
        <color indexed="64"/>
      </right>
      <top/>
      <bottom/>
      <diagonal/>
    </border>
    <border>
      <left style="thick">
        <color indexed="64"/>
      </left>
      <right style="thick">
        <color auto="1"/>
      </right>
      <top style="thin">
        <color indexed="64"/>
      </top>
      <bottom/>
      <diagonal/>
    </border>
    <border>
      <left style="thick">
        <color indexed="64"/>
      </left>
      <right style="thick">
        <color auto="1"/>
      </right>
      <top/>
      <bottom/>
      <diagonal/>
    </border>
    <border>
      <left style="thick">
        <color indexed="64"/>
      </left>
      <right style="thick">
        <color auto="1"/>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ck">
        <color indexed="64"/>
      </left>
      <right/>
      <top style="thick">
        <color indexed="64"/>
      </top>
      <bottom/>
      <diagonal/>
    </border>
    <border>
      <left/>
      <right/>
      <top style="thick">
        <color indexed="64"/>
      </top>
      <bottom/>
      <diagonal/>
    </border>
    <border>
      <left style="thick">
        <color indexed="64"/>
      </left>
      <right/>
      <top/>
      <bottom style="thick">
        <color indexed="64"/>
      </bottom>
      <diagonal/>
    </border>
    <border>
      <left/>
      <right/>
      <top/>
      <bottom style="thick">
        <color indexed="64"/>
      </bottom>
      <diagonal/>
    </border>
    <border>
      <left style="thick">
        <color indexed="12"/>
      </left>
      <right style="thick">
        <color indexed="12"/>
      </right>
      <top/>
      <bottom style="thick">
        <color indexed="12"/>
      </bottom>
      <diagonal/>
    </border>
    <border>
      <left/>
      <right/>
      <top/>
      <bottom style="thick">
        <color indexed="53"/>
      </bottom>
      <diagonal/>
    </border>
    <border>
      <left style="thick">
        <color indexed="33"/>
      </left>
      <right style="thick">
        <color indexed="33"/>
      </right>
      <top/>
      <bottom style="thick">
        <color indexed="33"/>
      </bottom>
      <diagonal/>
    </border>
    <border>
      <left style="thick">
        <color indexed="12"/>
      </left>
      <right style="thick">
        <color indexed="12"/>
      </right>
      <top style="thick">
        <color indexed="12"/>
      </top>
      <bottom style="thick">
        <color indexed="12"/>
      </bottom>
      <diagonal/>
    </border>
    <border>
      <left/>
      <right/>
      <top style="thick">
        <color indexed="53"/>
      </top>
      <bottom style="thick">
        <color indexed="53"/>
      </bottom>
      <diagonal/>
    </border>
    <border>
      <left style="thick">
        <color indexed="33"/>
      </left>
      <right style="thick">
        <color indexed="33"/>
      </right>
      <top style="thick">
        <color indexed="33"/>
      </top>
      <bottom style="thick">
        <color indexed="33"/>
      </bottom>
      <diagonal/>
    </border>
    <border>
      <left style="thick">
        <color indexed="12"/>
      </left>
      <right style="thick">
        <color indexed="12"/>
      </right>
      <top style="thick">
        <color indexed="12"/>
      </top>
      <bottom/>
      <diagonal/>
    </border>
    <border>
      <left/>
      <right/>
      <top style="thick">
        <color indexed="53"/>
      </top>
      <bottom/>
      <diagonal/>
    </border>
    <border>
      <left style="thick">
        <color indexed="33"/>
      </left>
      <right style="thick">
        <color indexed="33"/>
      </right>
      <top style="thick">
        <color indexed="33"/>
      </top>
      <bottom/>
      <diagonal/>
    </border>
  </borders>
  <cellStyleXfs count="5">
    <xf numFmtId="0" fontId="0" fillId="0" borderId="0"/>
    <xf numFmtId="9" fontId="1" fillId="0" borderId="0" applyFont="0" applyFill="0" applyBorder="0" applyAlignment="0" applyProtection="0"/>
    <xf numFmtId="0" fontId="30" fillId="0" borderId="0" applyNumberFormat="0" applyFill="0" applyBorder="0" applyAlignment="0" applyProtection="0">
      <alignment vertical="top"/>
      <protection locked="0"/>
    </xf>
    <xf numFmtId="0" fontId="38" fillId="0" borderId="0"/>
    <xf numFmtId="0" fontId="38" fillId="0" borderId="0"/>
  </cellStyleXfs>
  <cellXfs count="1313">
    <xf numFmtId="0" fontId="0" fillId="0" borderId="0" xfId="0"/>
    <xf numFmtId="0" fontId="2" fillId="0" borderId="0" xfId="0" applyFont="1" applyAlignment="1">
      <alignment horizontal="center" vertical="center" readingOrder="2"/>
    </xf>
    <xf numFmtId="0" fontId="4" fillId="0" borderId="0" xfId="0" applyFont="1" applyAlignment="1">
      <alignment horizontal="center" vertical="center" readingOrder="2"/>
    </xf>
    <xf numFmtId="0" fontId="3" fillId="0" borderId="0" xfId="0" applyFont="1" applyAlignment="1">
      <alignment horizontal="center" vertical="center" readingOrder="2"/>
    </xf>
    <xf numFmtId="0" fontId="4" fillId="0" borderId="0" xfId="0" applyFont="1" applyFill="1" applyBorder="1" applyAlignment="1">
      <alignment horizontal="center" vertical="center" readingOrder="2"/>
    </xf>
    <xf numFmtId="0" fontId="4" fillId="0" borderId="0" xfId="0" applyFont="1" applyFill="1" applyAlignment="1">
      <alignment horizontal="center" vertical="center" readingOrder="2"/>
    </xf>
    <xf numFmtId="0" fontId="7" fillId="3" borderId="0" xfId="0" applyFont="1" applyFill="1" applyAlignment="1">
      <alignment horizontal="center" vertical="center" readingOrder="2"/>
    </xf>
    <xf numFmtId="0" fontId="8" fillId="0" borderId="0" xfId="0" applyFont="1" applyAlignment="1">
      <alignment horizontal="center" vertical="center" readingOrder="2"/>
    </xf>
    <xf numFmtId="164" fontId="8" fillId="0" borderId="0" xfId="0" applyNumberFormat="1" applyFont="1" applyAlignment="1">
      <alignment horizontal="center" vertical="center" readingOrder="2"/>
    </xf>
    <xf numFmtId="0" fontId="0" fillId="0" borderId="0" xfId="0" applyAlignment="1">
      <alignment readingOrder="2"/>
    </xf>
    <xf numFmtId="0" fontId="4" fillId="0" borderId="0" xfId="0" applyFont="1" applyAlignment="1">
      <alignment readingOrder="2"/>
    </xf>
    <xf numFmtId="0" fontId="15" fillId="0" borderId="0" xfId="0" applyFont="1" applyAlignment="1">
      <alignment horizontal="center" vertical="center" readingOrder="2"/>
    </xf>
    <xf numFmtId="9" fontId="15" fillId="0" borderId="0" xfId="0" applyNumberFormat="1" applyFont="1" applyAlignment="1">
      <alignment horizontal="center" vertical="center" readingOrder="2"/>
    </xf>
    <xf numFmtId="9" fontId="17" fillId="0" borderId="19" xfId="0" applyNumberFormat="1" applyFont="1" applyBorder="1" applyAlignment="1">
      <alignment horizontal="center" vertical="center" readingOrder="2"/>
    </xf>
    <xf numFmtId="2" fontId="17" fillId="0" borderId="19" xfId="0" applyNumberFormat="1" applyFont="1" applyBorder="1" applyAlignment="1">
      <alignment horizontal="center" vertical="center" readingOrder="2"/>
    </xf>
    <xf numFmtId="0" fontId="17" fillId="0" borderId="19" xfId="0" applyFont="1" applyFill="1" applyBorder="1" applyAlignment="1">
      <alignment horizontal="center" vertical="center" readingOrder="2"/>
    </xf>
    <xf numFmtId="0" fontId="17" fillId="4" borderId="19" xfId="0" applyFont="1" applyFill="1" applyBorder="1" applyAlignment="1">
      <alignment horizontal="center" vertical="center" readingOrder="2"/>
    </xf>
    <xf numFmtId="0" fontId="17" fillId="0" borderId="0" xfId="0" applyFont="1" applyAlignment="1">
      <alignment horizontal="center" vertical="center" readingOrder="2"/>
    </xf>
    <xf numFmtId="165" fontId="17" fillId="0" borderId="19" xfId="0" applyNumberFormat="1" applyFont="1" applyBorder="1" applyAlignment="1">
      <alignment horizontal="center" vertical="center" readingOrder="2"/>
    </xf>
    <xf numFmtId="2" fontId="15" fillId="0" borderId="0" xfId="0" applyNumberFormat="1" applyFont="1" applyAlignment="1">
      <alignment horizontal="center" vertical="center" readingOrder="2"/>
    </xf>
    <xf numFmtId="0" fontId="18" fillId="0" borderId="0" xfId="0" applyFont="1" applyAlignment="1">
      <alignment horizontal="center" vertical="center" readingOrder="2"/>
    </xf>
    <xf numFmtId="0" fontId="18" fillId="0" borderId="19" xfId="0" applyFont="1" applyBorder="1" applyAlignment="1">
      <alignment horizontal="right" vertical="center" readingOrder="2"/>
    </xf>
    <xf numFmtId="0" fontId="18" fillId="0" borderId="19" xfId="0" applyFont="1" applyBorder="1" applyAlignment="1">
      <alignment horizontal="center" vertical="center" readingOrder="2"/>
    </xf>
    <xf numFmtId="0" fontId="18" fillId="0" borderId="25" xfId="0" applyFont="1" applyBorder="1" applyAlignment="1">
      <alignment horizontal="center" vertical="center" readingOrder="2"/>
    </xf>
    <xf numFmtId="9" fontId="18" fillId="0" borderId="25" xfId="1" applyFont="1" applyBorder="1" applyAlignment="1">
      <alignment horizontal="center" vertical="center" readingOrder="2"/>
    </xf>
    <xf numFmtId="0" fontId="18" fillId="0" borderId="19" xfId="0" applyFont="1" applyFill="1" applyBorder="1" applyAlignment="1">
      <alignment horizontal="center" vertical="center" readingOrder="2"/>
    </xf>
    <xf numFmtId="9" fontId="18" fillId="0" borderId="25" xfId="1" applyFont="1" applyFill="1" applyBorder="1" applyAlignment="1">
      <alignment horizontal="center" vertical="center" readingOrder="2"/>
    </xf>
    <xf numFmtId="0" fontId="18" fillId="0" borderId="0" xfId="0" applyFont="1" applyFill="1" applyAlignment="1">
      <alignment horizontal="center" vertical="center" readingOrder="2"/>
    </xf>
    <xf numFmtId="0" fontId="18" fillId="0" borderId="19" xfId="0" applyFont="1" applyBorder="1" applyAlignment="1">
      <alignment horizontal="center" vertical="center" wrapText="1" readingOrder="2"/>
    </xf>
    <xf numFmtId="0" fontId="18" fillId="3" borderId="0" xfId="0" applyFont="1" applyFill="1" applyAlignment="1">
      <alignment horizontal="center" vertical="center" readingOrder="2"/>
    </xf>
    <xf numFmtId="164" fontId="17" fillId="0" borderId="0" xfId="0" applyNumberFormat="1" applyFont="1" applyAlignment="1">
      <alignment horizontal="center" vertical="center" readingOrder="2"/>
    </xf>
    <xf numFmtId="10" fontId="15" fillId="0" borderId="42" xfId="0" applyNumberFormat="1" applyFont="1" applyFill="1" applyBorder="1" applyAlignment="1">
      <alignment horizontal="center" vertical="center" readingOrder="2"/>
    </xf>
    <xf numFmtId="0" fontId="18" fillId="7" borderId="0" xfId="0" applyFont="1" applyFill="1" applyAlignment="1">
      <alignment horizontal="center" vertical="center" readingOrder="2"/>
    </xf>
    <xf numFmtId="0" fontId="17" fillId="2" borderId="19" xfId="0" applyFont="1" applyFill="1" applyBorder="1" applyAlignment="1">
      <alignment horizontal="center" vertical="center" readingOrder="2"/>
    </xf>
    <xf numFmtId="0" fontId="7" fillId="0" borderId="0" xfId="0" applyFont="1" applyFill="1" applyAlignment="1">
      <alignment horizontal="center" vertical="center" readingOrder="2"/>
    </xf>
    <xf numFmtId="0" fontId="4" fillId="2" borderId="0" xfId="0" applyFont="1" applyFill="1" applyAlignment="1">
      <alignment horizontal="center" vertical="center" readingOrder="2"/>
    </xf>
    <xf numFmtId="1" fontId="18" fillId="5" borderId="40" xfId="0" applyNumberFormat="1" applyFont="1" applyFill="1" applyBorder="1" applyAlignment="1">
      <alignment horizontal="center" vertical="center" readingOrder="2"/>
    </xf>
    <xf numFmtId="0" fontId="20" fillId="0" borderId="0" xfId="0" applyFont="1" applyAlignment="1">
      <alignment horizontal="center" vertical="center" readingOrder="2"/>
    </xf>
    <xf numFmtId="0" fontId="22" fillId="0" borderId="0" xfId="0" applyFont="1" applyAlignment="1">
      <alignment horizontal="center" vertical="center" readingOrder="2"/>
    </xf>
    <xf numFmtId="0" fontId="23" fillId="0" borderId="0" xfId="0" applyFont="1" applyFill="1"/>
    <xf numFmtId="0" fontId="25" fillId="0" borderId="19" xfId="0" applyFont="1" applyBorder="1" applyAlignment="1">
      <alignment horizontal="center" vertical="center" readingOrder="2"/>
    </xf>
    <xf numFmtId="1" fontId="4" fillId="0" borderId="0" xfId="0" applyNumberFormat="1" applyFont="1" applyAlignment="1">
      <alignment horizontal="center" vertical="center" readingOrder="2"/>
    </xf>
    <xf numFmtId="0" fontId="17" fillId="12" borderId="19" xfId="0" applyFont="1" applyFill="1" applyBorder="1" applyAlignment="1">
      <alignment horizontal="center" vertical="center" readingOrder="2"/>
    </xf>
    <xf numFmtId="1" fontId="17" fillId="12" borderId="19" xfId="0" applyNumberFormat="1" applyFont="1" applyFill="1" applyBorder="1" applyAlignment="1">
      <alignment horizontal="center" vertical="center" readingOrder="2"/>
    </xf>
    <xf numFmtId="0" fontId="17" fillId="12" borderId="19" xfId="0" applyNumberFormat="1" applyFont="1" applyFill="1" applyBorder="1" applyAlignment="1">
      <alignment horizontal="center" vertical="center" readingOrder="2"/>
    </xf>
    <xf numFmtId="164" fontId="17" fillId="12" borderId="19" xfId="0" applyNumberFormat="1" applyFont="1" applyFill="1" applyBorder="1" applyAlignment="1">
      <alignment horizontal="center" vertical="center" readingOrder="2"/>
    </xf>
    <xf numFmtId="0" fontId="18" fillId="0" borderId="19" xfId="0" applyFont="1" applyBorder="1" applyAlignment="1">
      <alignment horizontal="center" vertical="top" wrapText="1" readingOrder="2"/>
    </xf>
    <xf numFmtId="0" fontId="18" fillId="0" borderId="0" xfId="0" applyFont="1" applyBorder="1" applyAlignment="1">
      <alignment horizontal="center" vertical="center" readingOrder="2"/>
    </xf>
    <xf numFmtId="0" fontId="4" fillId="0" borderId="0" xfId="0" applyFont="1" applyBorder="1" applyAlignment="1">
      <alignment horizontal="center" vertical="center" readingOrder="2"/>
    </xf>
    <xf numFmtId="0" fontId="18" fillId="3" borderId="36" xfId="0" applyFont="1" applyFill="1" applyBorder="1" applyAlignment="1">
      <alignment horizontal="center" vertical="center" readingOrder="2"/>
    </xf>
    <xf numFmtId="0" fontId="18" fillId="3" borderId="19" xfId="0" applyFont="1" applyFill="1" applyBorder="1" applyAlignment="1">
      <alignment horizontal="center" vertical="center" readingOrder="2"/>
    </xf>
    <xf numFmtId="0" fontId="17" fillId="0" borderId="19" xfId="0" applyFont="1" applyBorder="1" applyAlignment="1">
      <alignment horizontal="center" vertical="center" readingOrder="2"/>
    </xf>
    <xf numFmtId="0" fontId="17" fillId="10" borderId="19" xfId="0" applyFont="1" applyFill="1" applyBorder="1" applyAlignment="1">
      <alignment horizontal="center" vertical="center" readingOrder="2"/>
    </xf>
    <xf numFmtId="2" fontId="15" fillId="0" borderId="33" xfId="0" applyNumberFormat="1" applyFont="1" applyFill="1" applyBorder="1" applyAlignment="1">
      <alignment horizontal="center" vertical="center" readingOrder="2"/>
    </xf>
    <xf numFmtId="0" fontId="18" fillId="0" borderId="40" xfId="0" applyFont="1" applyBorder="1" applyAlignment="1">
      <alignment horizontal="center" vertical="center" readingOrder="2"/>
    </xf>
    <xf numFmtId="1" fontId="18" fillId="0" borderId="40" xfId="0" applyNumberFormat="1" applyFont="1" applyFill="1" applyBorder="1" applyAlignment="1">
      <alignment horizontal="center" vertical="center" readingOrder="2"/>
    </xf>
    <xf numFmtId="2" fontId="18" fillId="5" borderId="40" xfId="0" applyNumberFormat="1" applyFont="1" applyFill="1" applyBorder="1" applyAlignment="1">
      <alignment horizontal="center" vertical="center" readingOrder="2"/>
    </xf>
    <xf numFmtId="0" fontId="22" fillId="4" borderId="49" xfId="0" applyFont="1" applyFill="1" applyBorder="1" applyAlignment="1">
      <alignment horizontal="center" vertical="center" readingOrder="2"/>
    </xf>
    <xf numFmtId="164" fontId="17" fillId="0" borderId="50" xfId="0" applyNumberFormat="1" applyFont="1" applyBorder="1" applyAlignment="1">
      <alignment horizontal="center" vertical="center" readingOrder="2"/>
    </xf>
    <xf numFmtId="0" fontId="22" fillId="0" borderId="49" xfId="0" applyFont="1" applyBorder="1" applyAlignment="1">
      <alignment horizontal="center" vertical="center" readingOrder="2"/>
    </xf>
    <xf numFmtId="0" fontId="22" fillId="8" borderId="49" xfId="0" applyFont="1" applyFill="1" applyBorder="1" applyAlignment="1">
      <alignment horizontal="center" vertical="center" readingOrder="2"/>
    </xf>
    <xf numFmtId="164" fontId="17" fillId="8" borderId="50" xfId="0" applyNumberFormat="1" applyFont="1" applyFill="1" applyBorder="1" applyAlignment="1">
      <alignment horizontal="center" vertical="center" readingOrder="2"/>
    </xf>
    <xf numFmtId="0" fontId="22" fillId="5" borderId="49" xfId="0" applyFont="1" applyFill="1" applyBorder="1" applyAlignment="1">
      <alignment horizontal="center" vertical="center" readingOrder="2"/>
    </xf>
    <xf numFmtId="164" fontId="17" fillId="5" borderId="50" xfId="0" applyNumberFormat="1" applyFont="1" applyFill="1" applyBorder="1" applyAlignment="1">
      <alignment horizontal="center" vertical="center" readingOrder="2"/>
    </xf>
    <xf numFmtId="0" fontId="22" fillId="0" borderId="49" xfId="0" applyFont="1" applyFill="1" applyBorder="1" applyAlignment="1">
      <alignment horizontal="center" vertical="center" readingOrder="2"/>
    </xf>
    <xf numFmtId="164" fontId="17" fillId="0" borderId="50" xfId="0" applyNumberFormat="1" applyFont="1" applyFill="1" applyBorder="1" applyAlignment="1">
      <alignment horizontal="center" vertical="center" readingOrder="2"/>
    </xf>
    <xf numFmtId="0" fontId="22" fillId="5" borderId="51" xfId="0" applyFont="1" applyFill="1" applyBorder="1" applyAlignment="1">
      <alignment horizontal="center" vertical="center" readingOrder="2"/>
    </xf>
    <xf numFmtId="164" fontId="17" fillId="5" borderId="53" xfId="0" applyNumberFormat="1" applyFont="1" applyFill="1" applyBorder="1" applyAlignment="1">
      <alignment horizontal="center" vertical="center" readingOrder="2"/>
    </xf>
    <xf numFmtId="0" fontId="18" fillId="3" borderId="19" xfId="0" applyFont="1" applyFill="1" applyBorder="1" applyAlignment="1">
      <alignment horizontal="center" vertical="center" readingOrder="2"/>
    </xf>
    <xf numFmtId="0" fontId="17" fillId="0" borderId="19" xfId="0" applyFont="1" applyBorder="1" applyAlignment="1">
      <alignment horizontal="center" vertical="center" readingOrder="2"/>
    </xf>
    <xf numFmtId="0" fontId="17" fillId="10" borderId="19" xfId="0" applyFont="1" applyFill="1" applyBorder="1" applyAlignment="1">
      <alignment horizontal="center" vertical="center" readingOrder="2"/>
    </xf>
    <xf numFmtId="164" fontId="17" fillId="0" borderId="50" xfId="0" applyNumberFormat="1" applyFont="1" applyBorder="1" applyAlignment="1">
      <alignment horizontal="center" vertical="center" readingOrder="2"/>
    </xf>
    <xf numFmtId="0" fontId="18" fillId="0" borderId="36" xfId="0" applyFont="1" applyBorder="1" applyAlignment="1">
      <alignment horizontal="center" vertical="center" readingOrder="2"/>
    </xf>
    <xf numFmtId="0" fontId="17" fillId="0" borderId="19" xfId="0" applyFont="1" applyBorder="1" applyAlignment="1">
      <alignment horizontal="center" vertical="center" readingOrder="2"/>
    </xf>
    <xf numFmtId="164" fontId="17" fillId="0" borderId="50" xfId="0" applyNumberFormat="1" applyFont="1" applyBorder="1" applyAlignment="1">
      <alignment horizontal="center" vertical="center" readingOrder="2"/>
    </xf>
    <xf numFmtId="0" fontId="25" fillId="0" borderId="19" xfId="0" applyFont="1" applyBorder="1" applyAlignment="1">
      <alignment horizontal="center" vertical="center" wrapText="1" readingOrder="2"/>
    </xf>
    <xf numFmtId="0" fontId="18" fillId="3" borderId="19" xfId="0" applyFont="1" applyFill="1" applyBorder="1" applyAlignment="1">
      <alignment horizontal="center" vertical="center" readingOrder="2"/>
    </xf>
    <xf numFmtId="0" fontId="17" fillId="0" borderId="19" xfId="0" applyFont="1" applyBorder="1" applyAlignment="1">
      <alignment horizontal="center" vertical="center" readingOrder="2"/>
    </xf>
    <xf numFmtId="0" fontId="17" fillId="10" borderId="19" xfId="0" applyFont="1" applyFill="1" applyBorder="1" applyAlignment="1">
      <alignment horizontal="center" vertical="center" readingOrder="2"/>
    </xf>
    <xf numFmtId="164" fontId="17" fillId="0" borderId="50" xfId="0" applyNumberFormat="1" applyFont="1" applyBorder="1" applyAlignment="1">
      <alignment horizontal="center" vertical="center" readingOrder="2"/>
    </xf>
    <xf numFmtId="0" fontId="25" fillId="0" borderId="19" xfId="0" applyFont="1" applyFill="1" applyBorder="1" applyAlignment="1">
      <alignment horizontal="center" vertical="center" readingOrder="2"/>
    </xf>
    <xf numFmtId="0" fontId="28" fillId="0" borderId="19" xfId="0" applyFont="1" applyBorder="1" applyAlignment="1">
      <alignment horizontal="center" vertical="center" readingOrder="2"/>
    </xf>
    <xf numFmtId="0" fontId="17" fillId="14" borderId="19" xfId="0" applyFont="1" applyFill="1" applyBorder="1" applyAlignment="1">
      <alignment horizontal="center" vertical="center" readingOrder="2"/>
    </xf>
    <xf numFmtId="0" fontId="0" fillId="0" borderId="0" xfId="0" applyAlignment="1">
      <alignment wrapText="1"/>
    </xf>
    <xf numFmtId="0" fontId="19" fillId="0" borderId="0" xfId="0" applyFont="1" applyAlignment="1">
      <alignment horizontal="center" vertical="center" readingOrder="2"/>
    </xf>
    <xf numFmtId="9" fontId="3" fillId="0" borderId="0" xfId="0" applyNumberFormat="1" applyFont="1" applyAlignment="1">
      <alignment horizontal="center" vertical="center" readingOrder="2"/>
    </xf>
    <xf numFmtId="0" fontId="25" fillId="14" borderId="19" xfId="0" applyFont="1" applyFill="1" applyBorder="1" applyAlignment="1">
      <alignment horizontal="center" vertical="center" readingOrder="2"/>
    </xf>
    <xf numFmtId="0" fontId="0" fillId="0" borderId="0" xfId="0" applyFill="1"/>
    <xf numFmtId="9" fontId="17" fillId="0" borderId="19" xfId="0" applyNumberFormat="1" applyFont="1" applyFill="1" applyBorder="1" applyAlignment="1">
      <alignment horizontal="center" vertical="center" readingOrder="2"/>
    </xf>
    <xf numFmtId="0" fontId="17" fillId="0" borderId="19" xfId="0" applyFont="1" applyFill="1" applyBorder="1" applyAlignment="1">
      <alignment horizontal="center" vertical="center" readingOrder="2"/>
    </xf>
    <xf numFmtId="0" fontId="17" fillId="0" borderId="19" xfId="0" applyFont="1" applyFill="1" applyBorder="1" applyAlignment="1">
      <alignment horizontal="center" vertical="center" readingOrder="2"/>
    </xf>
    <xf numFmtId="0" fontId="18" fillId="3" borderId="19" xfId="0" applyFont="1" applyFill="1" applyBorder="1" applyAlignment="1">
      <alignment horizontal="center" vertical="center" readingOrder="2"/>
    </xf>
    <xf numFmtId="0" fontId="18" fillId="0" borderId="19" xfId="0" applyFont="1" applyFill="1" applyBorder="1" applyAlignment="1">
      <alignment horizontal="right" vertical="center" readingOrder="2"/>
    </xf>
    <xf numFmtId="0" fontId="18" fillId="0" borderId="36" xfId="0" applyFont="1" applyFill="1" applyBorder="1" applyAlignment="1">
      <alignment horizontal="center" vertical="center" readingOrder="2"/>
    </xf>
    <xf numFmtId="0" fontId="18" fillId="0" borderId="19" xfId="0" applyFont="1" applyFill="1" applyBorder="1" applyAlignment="1">
      <alignment horizontal="center" vertical="center" readingOrder="2"/>
    </xf>
    <xf numFmtId="1" fontId="17" fillId="0" borderId="19" xfId="0" applyNumberFormat="1" applyFont="1" applyFill="1" applyBorder="1" applyAlignment="1">
      <alignment horizontal="center" vertical="center" readingOrder="2"/>
    </xf>
    <xf numFmtId="165" fontId="17" fillId="0" borderId="19" xfId="0" applyNumberFormat="1" applyFont="1" applyFill="1" applyBorder="1" applyAlignment="1">
      <alignment horizontal="center" vertical="center" readingOrder="2"/>
    </xf>
    <xf numFmtId="0" fontId="18" fillId="0" borderId="19" xfId="0" applyFont="1" applyFill="1" applyBorder="1" applyAlignment="1">
      <alignment horizontal="center" vertical="center" wrapText="1" readingOrder="2"/>
    </xf>
    <xf numFmtId="9" fontId="18" fillId="0" borderId="41" xfId="1" applyFont="1" applyBorder="1" applyAlignment="1">
      <alignment horizontal="center" vertical="center" readingOrder="2"/>
    </xf>
    <xf numFmtId="0" fontId="17" fillId="0" borderId="19" xfId="0" applyFont="1" applyFill="1" applyBorder="1" applyAlignment="1">
      <alignment horizontal="center" vertical="center" readingOrder="2"/>
    </xf>
    <xf numFmtId="0" fontId="18" fillId="3" borderId="19" xfId="0" applyFont="1" applyFill="1" applyBorder="1" applyAlignment="1">
      <alignment horizontal="center" vertical="center" readingOrder="2"/>
    </xf>
    <xf numFmtId="0" fontId="17" fillId="0" borderId="19" xfId="0" applyFont="1" applyBorder="1" applyAlignment="1">
      <alignment horizontal="center" vertical="center" readingOrder="2"/>
    </xf>
    <xf numFmtId="0" fontId="17" fillId="10" borderId="19" xfId="0" applyFont="1" applyFill="1" applyBorder="1" applyAlignment="1">
      <alignment horizontal="center" vertical="center" readingOrder="2"/>
    </xf>
    <xf numFmtId="164" fontId="17" fillId="0" borderId="64" xfId="0" applyNumberFormat="1" applyFont="1" applyFill="1" applyBorder="1" applyAlignment="1">
      <alignment horizontal="center" vertical="center" readingOrder="2"/>
    </xf>
    <xf numFmtId="0" fontId="18" fillId="0" borderId="19" xfId="0" applyFont="1" applyFill="1" applyBorder="1" applyAlignment="1">
      <alignment horizontal="center" vertical="center" readingOrder="2"/>
    </xf>
    <xf numFmtId="164" fontId="17" fillId="0" borderId="50" xfId="0" applyNumberFormat="1" applyFont="1" applyBorder="1" applyAlignment="1">
      <alignment horizontal="center" vertical="center" readingOrder="2"/>
    </xf>
    <xf numFmtId="0" fontId="17" fillId="0" borderId="19" xfId="0" applyNumberFormat="1" applyFont="1" applyFill="1" applyBorder="1" applyAlignment="1">
      <alignment horizontal="center" vertical="center" readingOrder="2"/>
    </xf>
    <xf numFmtId="2" fontId="17" fillId="0" borderId="19" xfId="0" applyNumberFormat="1" applyFont="1" applyFill="1" applyBorder="1" applyAlignment="1">
      <alignment horizontal="center" vertical="center" readingOrder="2"/>
    </xf>
    <xf numFmtId="0" fontId="21" fillId="0" borderId="71" xfId="0" applyFont="1" applyFill="1" applyBorder="1" applyAlignment="1">
      <alignment horizontal="center" vertical="center" readingOrder="2"/>
    </xf>
    <xf numFmtId="0" fontId="17" fillId="0" borderId="11" xfId="0" applyFont="1" applyFill="1" applyBorder="1" applyAlignment="1">
      <alignment horizontal="center" vertical="center" readingOrder="2"/>
    </xf>
    <xf numFmtId="0" fontId="17" fillId="0" borderId="74" xfId="0" applyFont="1" applyFill="1" applyBorder="1" applyAlignment="1">
      <alignment horizontal="center" vertical="center" readingOrder="2"/>
    </xf>
    <xf numFmtId="0" fontId="17" fillId="0" borderId="75" xfId="0" applyFont="1" applyFill="1" applyBorder="1" applyAlignment="1">
      <alignment horizontal="center" vertical="center" readingOrder="2"/>
    </xf>
    <xf numFmtId="164" fontId="17" fillId="0" borderId="76" xfId="0" applyNumberFormat="1" applyFont="1" applyFill="1" applyBorder="1" applyAlignment="1">
      <alignment horizontal="center" vertical="center" readingOrder="2"/>
    </xf>
    <xf numFmtId="2" fontId="15" fillId="0" borderId="35" xfId="0" applyNumberFormat="1" applyFont="1" applyFill="1" applyBorder="1" applyAlignment="1">
      <alignment horizontal="center" vertical="center" readingOrder="2"/>
    </xf>
    <xf numFmtId="10" fontId="15" fillId="0" borderId="23" xfId="0" applyNumberFormat="1" applyFont="1" applyFill="1" applyBorder="1" applyAlignment="1">
      <alignment horizontal="center" vertical="center" readingOrder="2"/>
    </xf>
    <xf numFmtId="0" fontId="18" fillId="0" borderId="40" xfId="0" applyFont="1" applyFill="1" applyBorder="1" applyAlignment="1">
      <alignment horizontal="center" vertical="center" readingOrder="2"/>
    </xf>
    <xf numFmtId="0" fontId="18" fillId="0" borderId="25" xfId="0" applyFont="1" applyFill="1" applyBorder="1" applyAlignment="1">
      <alignment horizontal="center" vertical="center" readingOrder="2"/>
    </xf>
    <xf numFmtId="0" fontId="18" fillId="0" borderId="40" xfId="0" applyFont="1" applyFill="1" applyBorder="1" applyAlignment="1">
      <alignment horizontal="center" vertical="center" readingOrder="2"/>
    </xf>
    <xf numFmtId="0" fontId="4" fillId="0" borderId="97" xfId="0" applyFont="1" applyBorder="1" applyAlignment="1">
      <alignment horizontal="center" vertical="center" readingOrder="2"/>
    </xf>
    <xf numFmtId="0" fontId="4" fillId="0" borderId="76" xfId="0" applyFont="1" applyBorder="1" applyAlignment="1">
      <alignment horizontal="center" vertical="center" readingOrder="2"/>
    </xf>
    <xf numFmtId="9" fontId="18" fillId="0" borderId="41" xfId="1" applyFont="1" applyFill="1" applyBorder="1" applyAlignment="1">
      <alignment horizontal="center" vertical="center" readingOrder="2"/>
    </xf>
    <xf numFmtId="0" fontId="4" fillId="0" borderId="19" xfId="0" applyFont="1" applyFill="1" applyBorder="1" applyAlignment="1">
      <alignment horizontal="center" vertical="center" readingOrder="2"/>
    </xf>
    <xf numFmtId="2" fontId="18" fillId="0" borderId="40" xfId="0" applyNumberFormat="1" applyFont="1" applyFill="1" applyBorder="1" applyAlignment="1">
      <alignment horizontal="center" vertical="center" readingOrder="2"/>
    </xf>
    <xf numFmtId="0" fontId="18" fillId="0" borderId="37" xfId="0" applyFont="1" applyFill="1" applyBorder="1" applyAlignment="1">
      <alignment horizontal="center" vertical="center" readingOrder="2"/>
    </xf>
    <xf numFmtId="0" fontId="18" fillId="2" borderId="0" xfId="0" applyFont="1" applyFill="1" applyAlignment="1">
      <alignment horizontal="center" vertical="center" readingOrder="2"/>
    </xf>
    <xf numFmtId="0" fontId="22" fillId="2" borderId="49" xfId="0" applyFont="1" applyFill="1" applyBorder="1" applyAlignment="1">
      <alignment horizontal="center" vertical="center" readingOrder="2"/>
    </xf>
    <xf numFmtId="0" fontId="18" fillId="2" borderId="19" xfId="0" applyFont="1" applyFill="1" applyBorder="1" applyAlignment="1">
      <alignment horizontal="center" vertical="center" readingOrder="2"/>
    </xf>
    <xf numFmtId="0" fontId="17" fillId="2" borderId="19" xfId="0" applyNumberFormat="1" applyFont="1" applyFill="1" applyBorder="1" applyAlignment="1">
      <alignment horizontal="center" vertical="center" readingOrder="2"/>
    </xf>
    <xf numFmtId="165" fontId="17" fillId="2" borderId="19" xfId="0" applyNumberFormat="1" applyFont="1" applyFill="1" applyBorder="1" applyAlignment="1">
      <alignment horizontal="center" vertical="center" readingOrder="2"/>
    </xf>
    <xf numFmtId="9" fontId="17" fillId="2" borderId="19" xfId="0" applyNumberFormat="1" applyFont="1" applyFill="1" applyBorder="1" applyAlignment="1">
      <alignment horizontal="center" vertical="center" readingOrder="2"/>
    </xf>
    <xf numFmtId="164" fontId="17" fillId="2" borderId="50" xfId="0" applyNumberFormat="1" applyFont="1" applyFill="1" applyBorder="1" applyAlignment="1">
      <alignment horizontal="center" vertical="center" readingOrder="2"/>
    </xf>
    <xf numFmtId="0" fontId="18" fillId="2" borderId="40" xfId="0" applyFont="1" applyFill="1" applyBorder="1" applyAlignment="1">
      <alignment horizontal="center" vertical="center" readingOrder="2"/>
    </xf>
    <xf numFmtId="0" fontId="18" fillId="2" borderId="25" xfId="0" applyFont="1" applyFill="1" applyBorder="1" applyAlignment="1">
      <alignment horizontal="center" vertical="center" readingOrder="2"/>
    </xf>
    <xf numFmtId="2" fontId="17" fillId="2" borderId="19" xfId="0" applyNumberFormat="1" applyFont="1" applyFill="1" applyBorder="1" applyAlignment="1">
      <alignment horizontal="center" vertical="center" readingOrder="2"/>
    </xf>
    <xf numFmtId="0" fontId="18" fillId="2" borderId="36" xfId="0" applyFont="1" applyFill="1" applyBorder="1" applyAlignment="1">
      <alignment horizontal="center" vertical="center" readingOrder="2"/>
    </xf>
    <xf numFmtId="1" fontId="18" fillId="2" borderId="40" xfId="0" applyNumberFormat="1" applyFont="1" applyFill="1" applyBorder="1" applyAlignment="1">
      <alignment horizontal="center" vertical="center" readingOrder="2"/>
    </xf>
    <xf numFmtId="9" fontId="18" fillId="2" borderId="41" xfId="1" applyFont="1" applyFill="1" applyBorder="1" applyAlignment="1">
      <alignment horizontal="center" vertical="center" readingOrder="2"/>
    </xf>
    <xf numFmtId="0" fontId="4" fillId="2" borderId="19" xfId="0" applyFont="1" applyFill="1" applyBorder="1" applyAlignment="1">
      <alignment horizontal="center" vertical="center" readingOrder="2"/>
    </xf>
    <xf numFmtId="0" fontId="22" fillId="0" borderId="24" xfId="0" applyFont="1" applyFill="1" applyBorder="1" applyAlignment="1">
      <alignment horizontal="center" vertical="center" readingOrder="2"/>
    </xf>
    <xf numFmtId="164" fontId="17" fillId="0" borderId="36" xfId="0" applyNumberFormat="1" applyFont="1" applyFill="1" applyBorder="1" applyAlignment="1">
      <alignment horizontal="center" vertical="center" readingOrder="2"/>
    </xf>
    <xf numFmtId="0" fontId="18" fillId="0" borderId="31" xfId="0" applyFont="1" applyFill="1" applyBorder="1" applyAlignment="1">
      <alignment horizontal="center" vertical="top" wrapText="1" readingOrder="2"/>
    </xf>
    <xf numFmtId="0" fontId="22" fillId="0" borderId="66" xfId="0" applyFont="1" applyFill="1" applyBorder="1" applyAlignment="1">
      <alignment horizontal="center" vertical="center" readingOrder="2"/>
    </xf>
    <xf numFmtId="0" fontId="18" fillId="0" borderId="28" xfId="0" applyFont="1" applyFill="1" applyBorder="1" applyAlignment="1">
      <alignment horizontal="center" vertical="center" readingOrder="2"/>
    </xf>
    <xf numFmtId="0" fontId="18" fillId="0" borderId="59" xfId="0" applyFont="1" applyFill="1" applyBorder="1" applyAlignment="1">
      <alignment horizontal="center" vertical="center" readingOrder="2"/>
    </xf>
    <xf numFmtId="0" fontId="18" fillId="0" borderId="19" xfId="0" applyFont="1" applyFill="1" applyBorder="1" applyAlignment="1">
      <alignment horizontal="center" vertical="top" wrapText="1" readingOrder="2"/>
    </xf>
    <xf numFmtId="0" fontId="18" fillId="0" borderId="0" xfId="0" applyFont="1" applyFill="1" applyBorder="1" applyAlignment="1">
      <alignment horizontal="center" vertical="center" readingOrder="2"/>
    </xf>
    <xf numFmtId="0" fontId="22" fillId="0" borderId="67" xfId="0" applyFont="1" applyFill="1" applyBorder="1" applyAlignment="1">
      <alignment horizontal="center" vertical="center" readingOrder="2"/>
    </xf>
    <xf numFmtId="1" fontId="18" fillId="0" borderId="33" xfId="0" applyNumberFormat="1" applyFont="1" applyFill="1" applyBorder="1" applyAlignment="1">
      <alignment horizontal="center" vertical="center" readingOrder="2"/>
    </xf>
    <xf numFmtId="9" fontId="18" fillId="0" borderId="42" xfId="1" applyFont="1" applyFill="1" applyBorder="1" applyAlignment="1">
      <alignment horizontal="center" vertical="center" readingOrder="2"/>
    </xf>
    <xf numFmtId="164" fontId="17" fillId="0" borderId="19" xfId="0" applyNumberFormat="1" applyFont="1" applyFill="1" applyBorder="1" applyAlignment="1">
      <alignment horizontal="center" vertical="center" readingOrder="2"/>
    </xf>
    <xf numFmtId="0" fontId="25" fillId="0" borderId="98" xfId="0" applyFont="1" applyBorder="1" applyAlignment="1">
      <alignment horizontal="center" vertical="center" readingOrder="2"/>
    </xf>
    <xf numFmtId="0" fontId="25" fillId="0" borderId="40" xfId="0" applyFont="1" applyBorder="1" applyAlignment="1">
      <alignment horizontal="center" vertical="center" readingOrder="2"/>
    </xf>
    <xf numFmtId="0" fontId="5" fillId="2" borderId="19" xfId="0" applyFont="1" applyFill="1" applyBorder="1" applyAlignment="1">
      <alignment horizontal="center" vertical="center" readingOrder="2"/>
    </xf>
    <xf numFmtId="2" fontId="5" fillId="8" borderId="19" xfId="0" applyNumberFormat="1" applyFont="1" applyFill="1" applyBorder="1" applyAlignment="1">
      <alignment horizontal="center" vertical="center" readingOrder="2"/>
    </xf>
    <xf numFmtId="0" fontId="7" fillId="0" borderId="0" xfId="0" applyFont="1" applyBorder="1" applyAlignment="1">
      <alignment horizontal="center" vertical="center" readingOrder="2"/>
    </xf>
    <xf numFmtId="0" fontId="31" fillId="0" borderId="19" xfId="0" applyFont="1" applyBorder="1" applyAlignment="1">
      <alignment horizontal="center" vertical="center" readingOrder="2"/>
    </xf>
    <xf numFmtId="0" fontId="7" fillId="15" borderId="19" xfId="0" applyFont="1" applyFill="1" applyBorder="1" applyAlignment="1">
      <alignment vertical="center"/>
    </xf>
    <xf numFmtId="0" fontId="31" fillId="0" borderId="0" xfId="0" applyFont="1" applyAlignment="1">
      <alignment horizontal="center" vertical="center" readingOrder="2"/>
    </xf>
    <xf numFmtId="0" fontId="33" fillId="0" borderId="0" xfId="0" applyFont="1"/>
    <xf numFmtId="0" fontId="31" fillId="2" borderId="0" xfId="0" applyFont="1" applyFill="1" applyAlignment="1">
      <alignment horizontal="center" vertical="center" readingOrder="2"/>
    </xf>
    <xf numFmtId="2" fontId="5" fillId="11" borderId="19" xfId="0" applyNumberFormat="1" applyFont="1" applyFill="1" applyBorder="1" applyAlignment="1">
      <alignment horizontal="center" vertical="center" readingOrder="2"/>
    </xf>
    <xf numFmtId="0" fontId="31" fillId="2" borderId="19" xfId="0" applyFont="1" applyFill="1" applyBorder="1" applyAlignment="1">
      <alignment horizontal="center" vertical="center" readingOrder="2"/>
    </xf>
    <xf numFmtId="0" fontId="5" fillId="0" borderId="19" xfId="0" applyFont="1" applyBorder="1" applyAlignment="1">
      <alignment horizontal="center" vertical="center" readingOrder="2"/>
    </xf>
    <xf numFmtId="9" fontId="5" fillId="0" borderId="19" xfId="0" applyNumberFormat="1" applyFont="1" applyBorder="1" applyAlignment="1">
      <alignment horizontal="center" vertical="center" readingOrder="2"/>
    </xf>
    <xf numFmtId="2" fontId="5" fillId="0" borderId="19" xfId="0" applyNumberFormat="1" applyFont="1" applyBorder="1" applyAlignment="1">
      <alignment horizontal="center" vertical="center" readingOrder="2"/>
    </xf>
    <xf numFmtId="0" fontId="5" fillId="3" borderId="0" xfId="0" applyFont="1" applyFill="1" applyAlignment="1">
      <alignment horizontal="center" vertical="center" readingOrder="2"/>
    </xf>
    <xf numFmtId="0" fontId="5" fillId="0" borderId="0" xfId="0" applyFont="1" applyAlignment="1">
      <alignment horizontal="center" vertical="center" readingOrder="2"/>
    </xf>
    <xf numFmtId="2" fontId="5" fillId="0" borderId="0" xfId="0" applyNumberFormat="1" applyFont="1" applyAlignment="1">
      <alignment horizontal="center" vertical="center" readingOrder="2"/>
    </xf>
    <xf numFmtId="0" fontId="5" fillId="0" borderId="0" xfId="0" applyFont="1" applyBorder="1" applyAlignment="1">
      <alignment vertical="center" readingOrder="2"/>
    </xf>
    <xf numFmtId="0" fontId="31" fillId="0" borderId="0" xfId="0" applyFont="1" applyBorder="1" applyAlignment="1">
      <alignment horizontal="center" vertical="center" readingOrder="2"/>
    </xf>
    <xf numFmtId="0" fontId="5" fillId="0" borderId="0" xfId="0" applyFont="1" applyBorder="1" applyAlignment="1">
      <alignment horizontal="center" vertical="center" readingOrder="2"/>
    </xf>
    <xf numFmtId="0" fontId="5" fillId="13" borderId="19" xfId="0" applyFont="1" applyFill="1" applyBorder="1" applyAlignment="1">
      <alignment horizontal="center" vertical="center" readingOrder="2"/>
    </xf>
    <xf numFmtId="165" fontId="5" fillId="0" borderId="19" xfId="0" applyNumberFormat="1" applyFont="1" applyBorder="1" applyAlignment="1">
      <alignment horizontal="center" vertical="center" readingOrder="2"/>
    </xf>
    <xf numFmtId="0" fontId="5" fillId="10" borderId="19" xfId="0" applyFont="1" applyFill="1" applyBorder="1" applyAlignment="1">
      <alignment horizontal="center" vertical="center" readingOrder="2"/>
    </xf>
    <xf numFmtId="0" fontId="5" fillId="14" borderId="19" xfId="0" applyFont="1" applyFill="1" applyBorder="1" applyAlignment="1">
      <alignment horizontal="center" vertical="center" readingOrder="2"/>
    </xf>
    <xf numFmtId="0" fontId="36" fillId="0" borderId="19" xfId="0" applyFont="1" applyBorder="1" applyAlignment="1">
      <alignment horizontal="center" vertical="center" readingOrder="2"/>
    </xf>
    <xf numFmtId="167" fontId="5" fillId="0" borderId="19" xfId="0" applyNumberFormat="1" applyFont="1" applyBorder="1" applyAlignment="1">
      <alignment horizontal="center" vertical="center" readingOrder="2"/>
    </xf>
    <xf numFmtId="0" fontId="31" fillId="2" borderId="36" xfId="0" applyFont="1" applyFill="1" applyBorder="1" applyAlignment="1">
      <alignment horizontal="center" vertical="center" readingOrder="2"/>
    </xf>
    <xf numFmtId="0" fontId="5" fillId="0" borderId="36" xfId="0" applyFont="1" applyBorder="1" applyAlignment="1">
      <alignment horizontal="center" vertical="center" readingOrder="2"/>
    </xf>
    <xf numFmtId="0" fontId="5" fillId="2" borderId="36" xfId="0" applyFont="1" applyFill="1" applyBorder="1" applyAlignment="1">
      <alignment horizontal="center" vertical="center" readingOrder="2"/>
    </xf>
    <xf numFmtId="9" fontId="5" fillId="0" borderId="36" xfId="0" applyNumberFormat="1" applyFont="1" applyBorder="1" applyAlignment="1">
      <alignment horizontal="center" vertical="center" readingOrder="2"/>
    </xf>
    <xf numFmtId="2" fontId="5" fillId="0" borderId="36" xfId="0" applyNumberFormat="1" applyFont="1" applyBorder="1" applyAlignment="1">
      <alignment horizontal="center" vertical="center" readingOrder="2"/>
    </xf>
    <xf numFmtId="0" fontId="33" fillId="0" borderId="0" xfId="0" applyFont="1" applyAlignment="1">
      <alignment horizontal="center" vertical="center"/>
    </xf>
    <xf numFmtId="0" fontId="31" fillId="0" borderId="79" xfId="0" applyFont="1" applyBorder="1" applyAlignment="1">
      <alignment horizontal="center" vertical="center" readingOrder="2"/>
    </xf>
    <xf numFmtId="0" fontId="31" fillId="0" borderId="78" xfId="0" applyFont="1" applyBorder="1" applyAlignment="1">
      <alignment horizontal="center" vertical="center" readingOrder="2"/>
    </xf>
    <xf numFmtId="0" fontId="7" fillId="0" borderId="0" xfId="0" applyFont="1" applyAlignment="1">
      <alignment horizontal="center" vertical="center" readingOrder="2"/>
    </xf>
    <xf numFmtId="0" fontId="24" fillId="11" borderId="19" xfId="0" applyFont="1" applyFill="1" applyBorder="1" applyAlignment="1">
      <alignment horizontal="center" vertical="center" readingOrder="2"/>
    </xf>
    <xf numFmtId="0" fontId="23" fillId="8" borderId="19" xfId="0" applyFont="1" applyFill="1" applyBorder="1" applyAlignment="1">
      <alignment horizontal="center" vertical="center" readingOrder="2"/>
    </xf>
    <xf numFmtId="0" fontId="23" fillId="0" borderId="0" xfId="0" applyFont="1" applyAlignment="1">
      <alignment horizontal="center" vertical="center" readingOrder="2"/>
    </xf>
    <xf numFmtId="164" fontId="5" fillId="0" borderId="0" xfId="0" applyNumberFormat="1" applyFont="1" applyAlignment="1">
      <alignment horizontal="center" vertical="center" readingOrder="2"/>
    </xf>
    <xf numFmtId="0" fontId="23" fillId="0" borderId="19" xfId="0" applyFont="1" applyBorder="1" applyAlignment="1">
      <alignment horizontal="center" vertical="center" readingOrder="2"/>
    </xf>
    <xf numFmtId="0" fontId="23" fillId="0" borderId="19" xfId="0" applyFont="1" applyFill="1" applyBorder="1" applyAlignment="1">
      <alignment horizontal="center" vertical="center" readingOrder="2"/>
    </xf>
    <xf numFmtId="0" fontId="29" fillId="2" borderId="0" xfId="0" applyFont="1" applyFill="1" applyAlignment="1">
      <alignment vertical="center" readingOrder="2"/>
    </xf>
    <xf numFmtId="2" fontId="31" fillId="0" borderId="0" xfId="0" applyNumberFormat="1" applyFont="1" applyAlignment="1">
      <alignment horizontal="center" vertical="center" readingOrder="2"/>
    </xf>
    <xf numFmtId="9" fontId="31" fillId="0" borderId="0" xfId="0" applyNumberFormat="1" applyFont="1" applyAlignment="1">
      <alignment horizontal="center" vertical="center" readingOrder="2"/>
    </xf>
    <xf numFmtId="0" fontId="7" fillId="0" borderId="0" xfId="0" applyFont="1"/>
    <xf numFmtId="2" fontId="7" fillId="0" borderId="0" xfId="0" applyNumberFormat="1" applyFont="1"/>
    <xf numFmtId="164" fontId="33" fillId="0" borderId="0" xfId="0" applyNumberFormat="1" applyFont="1" applyAlignment="1">
      <alignment horizontal="center" vertical="center"/>
    </xf>
    <xf numFmtId="164" fontId="7" fillId="11" borderId="19" xfId="0" applyNumberFormat="1" applyFont="1" applyFill="1" applyBorder="1" applyAlignment="1">
      <alignment horizontal="center" vertical="center" wrapText="1"/>
    </xf>
    <xf numFmtId="2" fontId="33" fillId="0" borderId="19" xfId="0" applyNumberFormat="1" applyFont="1" applyBorder="1" applyAlignment="1">
      <alignment horizontal="center" vertical="center"/>
    </xf>
    <xf numFmtId="0" fontId="33" fillId="15" borderId="19" xfId="0" applyFont="1" applyFill="1" applyBorder="1" applyAlignment="1">
      <alignment vertical="center"/>
    </xf>
    <xf numFmtId="0" fontId="33" fillId="0" borderId="19" xfId="0" applyFont="1" applyBorder="1" applyAlignment="1">
      <alignment horizontal="center" vertical="center"/>
    </xf>
    <xf numFmtId="164" fontId="33" fillId="0" borderId="19" xfId="0" applyNumberFormat="1" applyFont="1" applyBorder="1" applyAlignment="1">
      <alignment horizontal="center" vertical="center"/>
    </xf>
    <xf numFmtId="0" fontId="33" fillId="15" borderId="37" xfId="0" applyFont="1" applyFill="1" applyBorder="1" applyAlignment="1">
      <alignment vertical="center"/>
    </xf>
    <xf numFmtId="165" fontId="39" fillId="0" borderId="19" xfId="3" applyNumberFormat="1" applyFont="1" applyBorder="1" applyAlignment="1">
      <alignment horizontal="center" vertical="center"/>
    </xf>
    <xf numFmtId="165" fontId="40" fillId="0" borderId="19" xfId="3" applyNumberFormat="1" applyFont="1" applyBorder="1" applyAlignment="1">
      <alignment horizontal="center" vertical="center"/>
    </xf>
    <xf numFmtId="0" fontId="18" fillId="11" borderId="19" xfId="0" applyFont="1" applyFill="1" applyBorder="1" applyAlignment="1">
      <alignment horizontal="center" vertical="center" readingOrder="2"/>
    </xf>
    <xf numFmtId="165" fontId="39" fillId="17" borderId="19" xfId="3" applyNumberFormat="1" applyFont="1" applyFill="1" applyBorder="1" applyAlignment="1">
      <alignment horizontal="center" vertical="center"/>
    </xf>
    <xf numFmtId="0" fontId="18" fillId="11" borderId="36" xfId="0" applyFont="1" applyFill="1" applyBorder="1" applyAlignment="1">
      <alignment horizontal="center" vertical="center" readingOrder="2"/>
    </xf>
    <xf numFmtId="0" fontId="45" fillId="0" borderId="0" xfId="0" applyFont="1" applyAlignment="1">
      <alignment horizontal="center" vertical="center" readingOrder="2"/>
    </xf>
    <xf numFmtId="0" fontId="47" fillId="0" borderId="0" xfId="0" applyFont="1" applyAlignment="1">
      <alignment horizontal="center" vertical="center" readingOrder="2"/>
    </xf>
    <xf numFmtId="0" fontId="48" fillId="3" borderId="1" xfId="0" applyFont="1" applyFill="1" applyBorder="1" applyAlignment="1">
      <alignment horizontal="center" vertical="center" readingOrder="2"/>
    </xf>
    <xf numFmtId="0" fontId="47" fillId="0" borderId="0" xfId="0" applyFont="1" applyFill="1" applyBorder="1" applyAlignment="1">
      <alignment horizontal="center" vertical="center" readingOrder="2"/>
    </xf>
    <xf numFmtId="0" fontId="47" fillId="0" borderId="19" xfId="0" applyFont="1" applyFill="1" applyBorder="1" applyAlignment="1">
      <alignment horizontal="center" vertical="center" readingOrder="2"/>
    </xf>
    <xf numFmtId="0" fontId="47" fillId="0" borderId="19" xfId="0" applyFont="1" applyBorder="1" applyAlignment="1">
      <alignment horizontal="center" vertical="center" readingOrder="2"/>
    </xf>
    <xf numFmtId="0" fontId="47" fillId="3" borderId="0" xfId="0" applyFont="1" applyFill="1" applyAlignment="1">
      <alignment horizontal="center" vertical="center" readingOrder="2"/>
    </xf>
    <xf numFmtId="0" fontId="48" fillId="0" borderId="0" xfId="0" applyFont="1" applyAlignment="1">
      <alignment horizontal="center" vertical="center" readingOrder="2"/>
    </xf>
    <xf numFmtId="164" fontId="48" fillId="0" borderId="0" xfId="0" applyNumberFormat="1" applyFont="1" applyAlignment="1">
      <alignment horizontal="center" vertical="center" readingOrder="2"/>
    </xf>
    <xf numFmtId="0" fontId="49" fillId="0" borderId="19" xfId="0" applyFont="1" applyFill="1" applyBorder="1" applyAlignment="1">
      <alignment horizontal="center" vertical="center" readingOrder="2"/>
    </xf>
    <xf numFmtId="0" fontId="49" fillId="0" borderId="19" xfId="0" applyFont="1" applyBorder="1" applyAlignment="1">
      <alignment horizontal="center" vertical="center" readingOrder="2"/>
    </xf>
    <xf numFmtId="0" fontId="42" fillId="0" borderId="19" xfId="0" applyFont="1" applyBorder="1" applyAlignment="1">
      <alignment horizontal="center" vertical="center" readingOrder="2"/>
    </xf>
    <xf numFmtId="0" fontId="42" fillId="4" borderId="19" xfId="0" applyFont="1" applyFill="1" applyBorder="1" applyAlignment="1">
      <alignment horizontal="center" vertical="center" readingOrder="2"/>
    </xf>
    <xf numFmtId="9" fontId="42" fillId="0" borderId="19" xfId="0" applyNumberFormat="1" applyFont="1" applyBorder="1" applyAlignment="1">
      <alignment horizontal="center" vertical="center" readingOrder="2"/>
    </xf>
    <xf numFmtId="0" fontId="42" fillId="0" borderId="19" xfId="0" applyFont="1" applyFill="1" applyBorder="1" applyAlignment="1">
      <alignment horizontal="center" vertical="center" readingOrder="2"/>
    </xf>
    <xf numFmtId="0" fontId="50" fillId="11" borderId="0" xfId="0" applyFont="1" applyFill="1" applyAlignment="1">
      <alignment horizontal="center" vertical="center" readingOrder="2"/>
    </xf>
    <xf numFmtId="164" fontId="51" fillId="11" borderId="19" xfId="0" applyNumberFormat="1" applyFont="1" applyFill="1" applyBorder="1" applyAlignment="1">
      <alignment horizontal="center" vertical="center" readingOrder="2"/>
    </xf>
    <xf numFmtId="0" fontId="52" fillId="0" borderId="0" xfId="0" applyFont="1" applyAlignment="1">
      <alignment horizontal="center" vertical="center"/>
    </xf>
    <xf numFmtId="0" fontId="52" fillId="15" borderId="19" xfId="0" applyFont="1" applyFill="1" applyBorder="1" applyAlignment="1">
      <alignment vertical="center"/>
    </xf>
    <xf numFmtId="0" fontId="37" fillId="0" borderId="19" xfId="2" applyFont="1" applyBorder="1" applyAlignment="1" applyProtection="1">
      <alignment horizontal="center" vertical="center"/>
    </xf>
    <xf numFmtId="0" fontId="52" fillId="15" borderId="37" xfId="0" applyFont="1" applyFill="1" applyBorder="1" applyAlignment="1">
      <alignment vertical="center"/>
    </xf>
    <xf numFmtId="164" fontId="33" fillId="0" borderId="37" xfId="0" applyNumberFormat="1" applyFont="1" applyBorder="1" applyAlignment="1">
      <alignment horizontal="center" vertical="center"/>
    </xf>
    <xf numFmtId="0" fontId="33" fillId="0" borderId="0" xfId="0" applyFont="1" applyBorder="1"/>
    <xf numFmtId="0" fontId="31" fillId="0" borderId="19" xfId="0" applyFont="1" applyBorder="1" applyAlignment="1">
      <alignment horizontal="center" vertical="center" readingOrder="2"/>
    </xf>
    <xf numFmtId="0" fontId="5" fillId="2" borderId="19" xfId="0" applyFont="1" applyFill="1" applyBorder="1" applyAlignment="1">
      <alignment horizontal="center" vertical="center" readingOrder="2"/>
    </xf>
    <xf numFmtId="0" fontId="31" fillId="2" borderId="19" xfId="0" applyFont="1" applyFill="1" applyBorder="1" applyAlignment="1">
      <alignment horizontal="center" vertical="center" readingOrder="2"/>
    </xf>
    <xf numFmtId="0" fontId="5" fillId="0" borderId="19" xfId="0" applyFont="1" applyBorder="1" applyAlignment="1">
      <alignment horizontal="center" vertical="center" readingOrder="2"/>
    </xf>
    <xf numFmtId="2" fontId="5" fillId="0" borderId="19" xfId="0" applyNumberFormat="1" applyFont="1" applyBorder="1" applyAlignment="1">
      <alignment horizontal="center" vertical="center" readingOrder="2"/>
    </xf>
    <xf numFmtId="0" fontId="0" fillId="0" borderId="0" xfId="0" applyAlignment="1">
      <alignment horizontal="center" vertical="center"/>
    </xf>
    <xf numFmtId="0" fontId="5" fillId="11" borderId="19" xfId="0" applyFont="1" applyFill="1" applyBorder="1" applyAlignment="1">
      <alignment horizontal="center" vertical="center" readingOrder="2"/>
    </xf>
    <xf numFmtId="0" fontId="5" fillId="2" borderId="19" xfId="0" applyFont="1" applyFill="1" applyBorder="1" applyAlignment="1">
      <alignment horizontal="center" vertical="center" readingOrder="2"/>
    </xf>
    <xf numFmtId="0" fontId="31" fillId="0" borderId="19" xfId="0" applyFont="1" applyBorder="1" applyAlignment="1">
      <alignment horizontal="center" vertical="center" readingOrder="2"/>
    </xf>
    <xf numFmtId="0" fontId="5" fillId="8" borderId="19" xfId="0" applyFont="1" applyFill="1" applyBorder="1" applyAlignment="1">
      <alignment horizontal="center" vertical="center" readingOrder="2"/>
    </xf>
    <xf numFmtId="0" fontId="5" fillId="0" borderId="0" xfId="0" applyFont="1" applyBorder="1" applyAlignment="1">
      <alignment horizontal="center" vertical="center" readingOrder="2"/>
    </xf>
    <xf numFmtId="0" fontId="31" fillId="0" borderId="19" xfId="0" applyFont="1" applyFill="1" applyBorder="1" applyAlignment="1">
      <alignment horizontal="center" vertical="center" readingOrder="2"/>
    </xf>
    <xf numFmtId="0" fontId="33" fillId="0" borderId="19" xfId="0" applyFont="1" applyBorder="1" applyAlignment="1">
      <alignment horizontal="center" vertical="center"/>
    </xf>
    <xf numFmtId="0" fontId="49" fillId="2" borderId="19" xfId="0" applyFont="1" applyFill="1" applyBorder="1" applyAlignment="1">
      <alignment horizontal="center" vertical="center" readingOrder="2"/>
    </xf>
    <xf numFmtId="0" fontId="5" fillId="11" borderId="19" xfId="0" applyFont="1" applyFill="1" applyBorder="1" applyAlignment="1">
      <alignment horizontal="center" vertical="center" readingOrder="2"/>
    </xf>
    <xf numFmtId="0" fontId="31" fillId="0" borderId="19" xfId="0" applyFont="1" applyBorder="1" applyAlignment="1">
      <alignment horizontal="center" vertical="center" wrapText="1" readingOrder="2"/>
    </xf>
    <xf numFmtId="0" fontId="5" fillId="0" borderId="0" xfId="0" applyFont="1" applyBorder="1" applyAlignment="1">
      <alignment horizontal="center" vertical="center" readingOrder="2"/>
    </xf>
    <xf numFmtId="0" fontId="57" fillId="0" borderId="1" xfId="0" applyFont="1" applyBorder="1" applyAlignment="1">
      <alignment horizontal="center" vertical="center" wrapText="1"/>
    </xf>
    <xf numFmtId="0" fontId="0" fillId="0" borderId="0" xfId="0" applyAlignment="1">
      <alignment horizontal="right" vertical="center" readingOrder="2"/>
    </xf>
    <xf numFmtId="0" fontId="58" fillId="0" borderId="0" xfId="0" applyFont="1" applyAlignment="1">
      <alignment horizontal="right" vertical="center" readingOrder="2"/>
    </xf>
    <xf numFmtId="0" fontId="59" fillId="0" borderId="0" xfId="0" applyFont="1" applyAlignment="1">
      <alignment horizontal="right" vertical="center" readingOrder="2"/>
    </xf>
    <xf numFmtId="0" fontId="60" fillId="0" borderId="0" xfId="0" applyFont="1" applyAlignment="1">
      <alignment horizontal="right" vertical="center" readingOrder="2"/>
    </xf>
    <xf numFmtId="0" fontId="61" fillId="0" borderId="0" xfId="0" applyFont="1"/>
    <xf numFmtId="0" fontId="62" fillId="0" borderId="0" xfId="0" applyFont="1"/>
    <xf numFmtId="0" fontId="33" fillId="0" borderId="37" xfId="0" applyFont="1" applyBorder="1" applyAlignment="1">
      <alignment horizontal="center" vertical="center"/>
    </xf>
    <xf numFmtId="49" fontId="33" fillId="0" borderId="0" xfId="0" applyNumberFormat="1" applyFont="1" applyAlignment="1">
      <alignment horizontal="center" vertical="center"/>
    </xf>
    <xf numFmtId="0" fontId="7" fillId="0" borderId="19" xfId="0" applyFont="1" applyBorder="1" applyAlignment="1">
      <alignment horizontal="center" vertical="center"/>
    </xf>
    <xf numFmtId="0" fontId="7" fillId="0" borderId="19" xfId="0" applyFont="1" applyBorder="1" applyAlignment="1">
      <alignment horizontal="center" vertical="center" wrapText="1"/>
    </xf>
    <xf numFmtId="0" fontId="48" fillId="0" borderId="19" xfId="0" applyFont="1" applyBorder="1" applyAlignment="1">
      <alignment horizontal="center" vertical="center" readingOrder="2"/>
    </xf>
    <xf numFmtId="0" fontId="50" fillId="0" borderId="19" xfId="0" applyFont="1" applyBorder="1" applyAlignment="1">
      <alignment horizontal="center" vertical="center" readingOrder="2"/>
    </xf>
    <xf numFmtId="0" fontId="51" fillId="0" borderId="19" xfId="0" applyFont="1" applyBorder="1" applyAlignment="1">
      <alignment horizontal="center" vertical="center" readingOrder="2"/>
    </xf>
    <xf numFmtId="164" fontId="51" fillId="0" borderId="19" xfId="0" applyNumberFormat="1" applyFont="1" applyBorder="1" applyAlignment="1">
      <alignment horizontal="center" vertical="center" readingOrder="2"/>
    </xf>
    <xf numFmtId="0" fontId="50" fillId="0" borderId="19" xfId="0" applyFont="1" applyBorder="1" applyAlignment="1">
      <alignment horizontal="center" vertical="center" readingOrder="2"/>
    </xf>
    <xf numFmtId="0" fontId="50" fillId="0" borderId="36" xfId="0" applyFont="1" applyBorder="1" applyAlignment="1">
      <alignment horizontal="center" vertical="center" readingOrder="2"/>
    </xf>
    <xf numFmtId="0" fontId="51" fillId="0" borderId="36" xfId="0" applyFont="1" applyBorder="1" applyAlignment="1">
      <alignment horizontal="center" vertical="center" readingOrder="2"/>
    </xf>
    <xf numFmtId="164" fontId="51" fillId="0" borderId="36" xfId="0" applyNumberFormat="1" applyFont="1" applyBorder="1" applyAlignment="1">
      <alignment horizontal="center" vertical="center" readingOrder="2"/>
    </xf>
    <xf numFmtId="0" fontId="50" fillId="0" borderId="0" xfId="0" applyFont="1" applyAlignment="1">
      <alignment horizontal="center" vertical="center" readingOrder="2"/>
    </xf>
    <xf numFmtId="0" fontId="51" fillId="0" borderId="0" xfId="0" applyFont="1" applyAlignment="1">
      <alignment horizontal="center" vertical="center" readingOrder="2"/>
    </xf>
    <xf numFmtId="164" fontId="51" fillId="0" borderId="0" xfId="0" applyNumberFormat="1" applyFont="1" applyAlignment="1">
      <alignment horizontal="center" vertical="center" readingOrder="2"/>
    </xf>
    <xf numFmtId="0" fontId="50" fillId="0" borderId="36" xfId="0" applyFont="1" applyBorder="1" applyAlignment="1">
      <alignment horizontal="center" vertical="center" wrapText="1" readingOrder="2"/>
    </xf>
    <xf numFmtId="0" fontId="50" fillId="0" borderId="19" xfId="0" applyFont="1" applyBorder="1" applyAlignment="1">
      <alignment horizontal="center" vertical="center" wrapText="1" readingOrder="2"/>
    </xf>
    <xf numFmtId="0" fontId="67" fillId="0" borderId="0" xfId="0" applyFont="1" applyAlignment="1">
      <alignment horizontal="center" vertical="center" wrapText="1"/>
    </xf>
    <xf numFmtId="0" fontId="47" fillId="0" borderId="0" xfId="0" applyFont="1" applyAlignment="1">
      <alignment horizontal="center" vertical="center" wrapText="1" readingOrder="2"/>
    </xf>
    <xf numFmtId="0" fontId="69" fillId="0" borderId="0" xfId="0" applyFont="1" applyAlignment="1">
      <alignment horizontal="center" vertical="center" wrapText="1"/>
    </xf>
    <xf numFmtId="0" fontId="67" fillId="0" borderId="19" xfId="0" applyFont="1" applyBorder="1" applyAlignment="1">
      <alignment horizontal="center" vertical="center" wrapText="1"/>
    </xf>
    <xf numFmtId="0" fontId="47" fillId="0" borderId="19" xfId="0" applyFont="1" applyBorder="1" applyAlignment="1">
      <alignment horizontal="center" vertical="center" wrapText="1" readingOrder="2"/>
    </xf>
    <xf numFmtId="0" fontId="47" fillId="0" borderId="36" xfId="0" applyFont="1" applyBorder="1" applyAlignment="1">
      <alignment horizontal="center" vertical="center" readingOrder="2"/>
    </xf>
    <xf numFmtId="0" fontId="48" fillId="0" borderId="36" xfId="0" applyFont="1" applyBorder="1" applyAlignment="1">
      <alignment horizontal="center" vertical="center" readingOrder="2"/>
    </xf>
    <xf numFmtId="0" fontId="50" fillId="0" borderId="41" xfId="0" applyFont="1" applyBorder="1" applyAlignment="1">
      <alignment horizontal="center" vertical="center" readingOrder="2"/>
    </xf>
    <xf numFmtId="0" fontId="50" fillId="0" borderId="19" xfId="0" applyFont="1" applyBorder="1" applyAlignment="1">
      <alignment horizontal="center" vertical="center" readingOrder="2"/>
    </xf>
    <xf numFmtId="0" fontId="31" fillId="0" borderId="19" xfId="0" applyFont="1" applyBorder="1" applyAlignment="1">
      <alignment horizontal="center" vertical="center" wrapText="1" readingOrder="2"/>
    </xf>
    <xf numFmtId="164" fontId="48" fillId="0" borderId="19" xfId="0" applyNumberFormat="1" applyFont="1" applyBorder="1" applyAlignment="1">
      <alignment horizontal="center" vertical="center" readingOrder="2"/>
    </xf>
    <xf numFmtId="0" fontId="68" fillId="0" borderId="19" xfId="0" applyFont="1" applyBorder="1" applyAlignment="1">
      <alignment horizontal="center" vertical="center" wrapText="1"/>
    </xf>
    <xf numFmtId="0" fontId="62" fillId="0" borderId="19" xfId="0" applyFont="1" applyBorder="1" applyAlignment="1">
      <alignment horizontal="center" vertical="center"/>
    </xf>
    <xf numFmtId="0" fontId="62" fillId="0" borderId="19" xfId="0" applyFont="1" applyBorder="1" applyAlignment="1">
      <alignment horizontal="center" vertical="center" wrapText="1"/>
    </xf>
    <xf numFmtId="0" fontId="59" fillId="0" borderId="0" xfId="0" applyFont="1" applyAlignment="1">
      <alignment horizontal="center" vertical="center" readingOrder="2"/>
    </xf>
    <xf numFmtId="0" fontId="59" fillId="0" borderId="36" xfId="0" applyFont="1" applyBorder="1" applyAlignment="1">
      <alignment horizontal="center" vertical="center" readingOrder="2"/>
    </xf>
    <xf numFmtId="0" fontId="59" fillId="0" borderId="19" xfId="0" applyFont="1" applyBorder="1" applyAlignment="1">
      <alignment horizontal="center" vertical="center" readingOrder="2"/>
    </xf>
    <xf numFmtId="0" fontId="0" fillId="0" borderId="0" xfId="0" applyAlignment="1">
      <alignment horizontal="center" vertical="center" readingOrder="2"/>
    </xf>
    <xf numFmtId="0" fontId="59" fillId="0" borderId="19" xfId="0" applyFont="1" applyBorder="1" applyAlignment="1">
      <alignment horizontal="center" vertical="center" wrapText="1" readingOrder="2"/>
    </xf>
    <xf numFmtId="0" fontId="59" fillId="11" borderId="1" xfId="0" applyFont="1" applyFill="1" applyBorder="1" applyAlignment="1">
      <alignment horizontal="center" vertical="center" readingOrder="2"/>
    </xf>
    <xf numFmtId="0" fontId="59" fillId="22" borderId="0" xfId="0" applyFont="1" applyFill="1" applyAlignment="1">
      <alignment horizontal="center" vertical="center" readingOrder="2"/>
    </xf>
    <xf numFmtId="0" fontId="71" fillId="0" borderId="0" xfId="0" applyFont="1" applyAlignment="1">
      <alignment horizontal="center" vertical="center" readingOrder="2"/>
    </xf>
    <xf numFmtId="0" fontId="59" fillId="0" borderId="0" xfId="0" applyFont="1" applyAlignment="1">
      <alignment horizontal="center" vertical="center" wrapText="1" readingOrder="2"/>
    </xf>
    <xf numFmtId="0" fontId="59" fillId="11" borderId="15" xfId="0" applyFont="1" applyFill="1" applyBorder="1" applyAlignment="1">
      <alignment horizontal="center" vertical="center" readingOrder="2"/>
    </xf>
    <xf numFmtId="0" fontId="59" fillId="9" borderId="1" xfId="0" applyFont="1" applyFill="1" applyBorder="1" applyAlignment="1">
      <alignment horizontal="center" vertical="center" readingOrder="2"/>
    </xf>
    <xf numFmtId="0" fontId="59" fillId="9" borderId="15" xfId="0" applyFont="1" applyFill="1" applyBorder="1" applyAlignment="1">
      <alignment horizontal="center" vertical="center" readingOrder="2"/>
    </xf>
    <xf numFmtId="0" fontId="59" fillId="22" borderId="19" xfId="0" applyFont="1" applyFill="1" applyBorder="1" applyAlignment="1">
      <alignment horizontal="center" vertical="center" readingOrder="2"/>
    </xf>
    <xf numFmtId="0" fontId="59" fillId="11" borderId="3" xfId="0" applyFont="1" applyFill="1" applyBorder="1" applyAlignment="1">
      <alignment horizontal="center" vertical="center" readingOrder="2"/>
    </xf>
    <xf numFmtId="0" fontId="59" fillId="22" borderId="19" xfId="0" applyFont="1" applyFill="1" applyBorder="1" applyAlignment="1">
      <alignment horizontal="center" vertical="center" wrapText="1" readingOrder="2"/>
    </xf>
    <xf numFmtId="0" fontId="59" fillId="0" borderId="36" xfId="0" applyFont="1" applyBorder="1" applyAlignment="1">
      <alignment horizontal="center" vertical="center" wrapText="1" readingOrder="2"/>
    </xf>
    <xf numFmtId="0" fontId="70" fillId="11" borderId="15" xfId="0" applyFont="1" applyFill="1" applyBorder="1" applyAlignment="1">
      <alignment horizontal="center" vertical="center"/>
    </xf>
    <xf numFmtId="0" fontId="0" fillId="0" borderId="19" xfId="0" applyBorder="1" applyAlignment="1">
      <alignment horizontal="center" vertical="center" readingOrder="2"/>
    </xf>
    <xf numFmtId="0" fontId="71" fillId="11" borderId="1" xfId="0" applyFont="1" applyFill="1" applyBorder="1" applyAlignment="1">
      <alignment horizontal="center" vertical="center" wrapText="1" readingOrder="2"/>
    </xf>
    <xf numFmtId="0" fontId="59" fillId="22" borderId="0" xfId="0" applyFont="1" applyFill="1" applyBorder="1" applyAlignment="1">
      <alignment horizontal="center" vertical="center" readingOrder="2"/>
    </xf>
    <xf numFmtId="0" fontId="59" fillId="22" borderId="0" xfId="0" applyFont="1" applyFill="1" applyBorder="1" applyAlignment="1">
      <alignment horizontal="center" vertical="center" wrapText="1" readingOrder="2"/>
    </xf>
    <xf numFmtId="0" fontId="0" fillId="0" borderId="19" xfId="0" applyBorder="1" applyAlignment="1">
      <alignment horizontal="center" vertical="center" wrapText="1" readingOrder="2"/>
    </xf>
    <xf numFmtId="0" fontId="58" fillId="11" borderId="15" xfId="0" applyFont="1" applyFill="1" applyBorder="1" applyAlignment="1">
      <alignment horizontal="center" vertical="center" readingOrder="2"/>
    </xf>
    <xf numFmtId="0" fontId="0" fillId="22" borderId="19" xfId="0" applyFill="1" applyBorder="1" applyAlignment="1">
      <alignment horizontal="center" vertical="center" readingOrder="2"/>
    </xf>
    <xf numFmtId="0" fontId="0" fillId="0" borderId="0" xfId="0" applyAlignment="1">
      <alignment horizontal="center" vertical="center" wrapText="1"/>
    </xf>
    <xf numFmtId="0" fontId="72" fillId="11" borderId="15" xfId="0" applyFont="1" applyFill="1" applyBorder="1" applyAlignment="1">
      <alignment horizontal="center" vertical="center" wrapText="1" readingOrder="2"/>
    </xf>
    <xf numFmtId="0" fontId="72" fillId="11" borderId="1" xfId="0" applyFont="1" applyFill="1" applyBorder="1" applyAlignment="1">
      <alignment horizontal="center" vertical="center" wrapText="1" readingOrder="2"/>
    </xf>
    <xf numFmtId="0" fontId="0" fillId="0" borderId="0" xfId="0" applyAlignment="1">
      <alignment horizontal="center" vertical="center" wrapText="1" readingOrder="2"/>
    </xf>
    <xf numFmtId="0" fontId="72" fillId="0" borderId="36" xfId="0" applyFont="1" applyBorder="1" applyAlignment="1">
      <alignment horizontal="center" vertical="center" wrapText="1" readingOrder="2"/>
    </xf>
    <xf numFmtId="0" fontId="72" fillId="0" borderId="19" xfId="0" applyFont="1" applyBorder="1" applyAlignment="1">
      <alignment horizontal="center" vertical="center" wrapText="1" readingOrder="2"/>
    </xf>
    <xf numFmtId="0" fontId="7" fillId="0" borderId="0" xfId="0" applyFont="1" applyAlignment="1">
      <alignment horizontal="center" vertical="center" wrapText="1" readingOrder="2"/>
    </xf>
    <xf numFmtId="0" fontId="56" fillId="9" borderId="1" xfId="0" applyFont="1" applyFill="1" applyBorder="1" applyAlignment="1">
      <alignment horizontal="center" vertical="center" readingOrder="2"/>
    </xf>
    <xf numFmtId="0" fontId="50" fillId="2" borderId="19" xfId="0" applyFont="1" applyFill="1" applyBorder="1" applyAlignment="1">
      <alignment horizontal="center" vertical="center" readingOrder="2"/>
    </xf>
    <xf numFmtId="164" fontId="51" fillId="11" borderId="36" xfId="0" applyNumberFormat="1" applyFont="1" applyFill="1" applyBorder="1" applyAlignment="1">
      <alignment horizontal="center" vertical="center" readingOrder="2"/>
    </xf>
    <xf numFmtId="0" fontId="51" fillId="0" borderId="0" xfId="0" applyFont="1" applyBorder="1" applyAlignment="1">
      <alignment vertical="center" readingOrder="2"/>
    </xf>
    <xf numFmtId="0" fontId="48" fillId="3" borderId="46" xfId="0" applyFont="1" applyFill="1" applyBorder="1" applyAlignment="1">
      <alignment horizontal="center" vertical="center" readingOrder="2"/>
    </xf>
    <xf numFmtId="0" fontId="48" fillId="3" borderId="47" xfId="0" applyFont="1" applyFill="1" applyBorder="1" applyAlignment="1">
      <alignment horizontal="center" vertical="center" readingOrder="2"/>
    </xf>
    <xf numFmtId="0" fontId="48" fillId="3" borderId="103" xfId="0" applyFont="1" applyFill="1" applyBorder="1" applyAlignment="1">
      <alignment horizontal="center" vertical="center" readingOrder="2"/>
    </xf>
    <xf numFmtId="0" fontId="48" fillId="3" borderId="104" xfId="0" applyFont="1" applyFill="1" applyBorder="1" applyAlignment="1">
      <alignment horizontal="center" vertical="center" readingOrder="2"/>
    </xf>
    <xf numFmtId="164" fontId="48" fillId="3" borderId="48" xfId="0" applyNumberFormat="1" applyFont="1" applyFill="1" applyBorder="1" applyAlignment="1">
      <alignment horizontal="center" vertical="center" readingOrder="2"/>
    </xf>
    <xf numFmtId="0" fontId="47" fillId="0" borderId="49" xfId="0" applyFont="1" applyFill="1" applyBorder="1" applyAlignment="1">
      <alignment horizontal="center" vertical="center" readingOrder="2"/>
    </xf>
    <xf numFmtId="164" fontId="42" fillId="0" borderId="50" xfId="0" applyNumberFormat="1" applyFont="1" applyFill="1" applyBorder="1" applyAlignment="1">
      <alignment horizontal="center" vertical="center" readingOrder="2"/>
    </xf>
    <xf numFmtId="0" fontId="47" fillId="0" borderId="49" xfId="0" applyFont="1" applyBorder="1" applyAlignment="1">
      <alignment horizontal="center" vertical="center" readingOrder="2"/>
    </xf>
    <xf numFmtId="164" fontId="42" fillId="0" borderId="50" xfId="0" applyNumberFormat="1" applyFont="1" applyBorder="1" applyAlignment="1">
      <alignment horizontal="center" vertical="center" readingOrder="2"/>
    </xf>
    <xf numFmtId="0" fontId="50" fillId="11" borderId="51" xfId="0" applyFont="1" applyFill="1" applyBorder="1" applyAlignment="1">
      <alignment horizontal="center" vertical="center" readingOrder="2"/>
    </xf>
    <xf numFmtId="164" fontId="51" fillId="11" borderId="53" xfId="0" applyNumberFormat="1" applyFont="1" applyFill="1" applyBorder="1" applyAlignment="1">
      <alignment horizontal="center" vertical="center" readingOrder="2"/>
    </xf>
    <xf numFmtId="0" fontId="47" fillId="0" borderId="46" xfId="0" applyFont="1" applyBorder="1" applyAlignment="1">
      <alignment horizontal="center" vertical="center" readingOrder="2"/>
    </xf>
    <xf numFmtId="0" fontId="47" fillId="0" borderId="47" xfId="0" applyNumberFormat="1" applyFont="1" applyBorder="1" applyAlignment="1">
      <alignment horizontal="center" vertical="center" wrapText="1" readingOrder="2"/>
    </xf>
    <xf numFmtId="0" fontId="49" fillId="0" borderId="47" xfId="0" applyFont="1" applyBorder="1" applyAlignment="1">
      <alignment horizontal="center" vertical="center" readingOrder="2"/>
    </xf>
    <xf numFmtId="0" fontId="42" fillId="0" borderId="47" xfId="0" applyFont="1" applyBorder="1" applyAlignment="1">
      <alignment horizontal="center" vertical="center" readingOrder="2"/>
    </xf>
    <xf numFmtId="0" fontId="42" fillId="0" borderId="47" xfId="0" applyFont="1" applyFill="1" applyBorder="1" applyAlignment="1">
      <alignment horizontal="center" vertical="center" readingOrder="2"/>
    </xf>
    <xf numFmtId="9" fontId="42" fillId="0" borderId="47" xfId="0" applyNumberFormat="1" applyFont="1" applyBorder="1" applyAlignment="1">
      <alignment horizontal="center" vertical="center" readingOrder="2"/>
    </xf>
    <xf numFmtId="164" fontId="42" fillId="0" borderId="48" xfId="0" applyNumberFormat="1" applyFont="1" applyBorder="1" applyAlignment="1">
      <alignment horizontal="center" vertical="center" readingOrder="2"/>
    </xf>
    <xf numFmtId="0" fontId="77" fillId="2" borderId="15" xfId="0" applyFont="1" applyFill="1" applyBorder="1" applyAlignment="1">
      <alignment horizontal="center" vertical="center" readingOrder="2"/>
    </xf>
    <xf numFmtId="0" fontId="77" fillId="2" borderId="19" xfId="0" applyFont="1" applyFill="1" applyBorder="1" applyAlignment="1">
      <alignment horizontal="center" vertical="center" readingOrder="2"/>
    </xf>
    <xf numFmtId="0" fontId="5" fillId="11" borderId="19" xfId="0" applyFont="1" applyFill="1" applyBorder="1" applyAlignment="1">
      <alignment horizontal="center" vertical="center" wrapText="1" readingOrder="2"/>
    </xf>
    <xf numFmtId="0" fontId="31" fillId="0" borderId="0" xfId="0" applyFont="1" applyAlignment="1">
      <alignment horizontal="center" vertical="center" wrapText="1" readingOrder="2"/>
    </xf>
    <xf numFmtId="0" fontId="31" fillId="0" borderId="36" xfId="0" applyFont="1" applyBorder="1" applyAlignment="1">
      <alignment horizontal="center" vertical="center" wrapText="1" readingOrder="2"/>
    </xf>
    <xf numFmtId="0" fontId="33" fillId="0" borderId="0" xfId="0" applyFont="1" applyAlignment="1">
      <alignment horizontal="center" vertical="center" wrapText="1"/>
    </xf>
    <xf numFmtId="0" fontId="33" fillId="0" borderId="0" xfId="0" applyFont="1" applyAlignment="1">
      <alignment wrapText="1"/>
    </xf>
    <xf numFmtId="0" fontId="31" fillId="2" borderId="0" xfId="0" applyFont="1" applyFill="1" applyAlignment="1">
      <alignment horizontal="center" vertical="center" wrapText="1" readingOrder="2"/>
    </xf>
    <xf numFmtId="0" fontId="5" fillId="11" borderId="19" xfId="0" applyFont="1" applyFill="1" applyBorder="1" applyAlignment="1">
      <alignment horizontal="center" vertical="center" wrapText="1" readingOrder="2"/>
    </xf>
    <xf numFmtId="2" fontId="5" fillId="11" borderId="19" xfId="0" applyNumberFormat="1" applyFont="1" applyFill="1" applyBorder="1" applyAlignment="1">
      <alignment horizontal="center" vertical="center" wrapText="1" readingOrder="2"/>
    </xf>
    <xf numFmtId="0" fontId="33" fillId="0" borderId="0" xfId="0" applyFont="1" applyBorder="1" applyAlignment="1">
      <alignment horizontal="center" vertical="center" wrapText="1"/>
    </xf>
    <xf numFmtId="0" fontId="33" fillId="0" borderId="0" xfId="0" applyFont="1" applyBorder="1" applyAlignment="1">
      <alignment wrapText="1"/>
    </xf>
    <xf numFmtId="0" fontId="31" fillId="2" borderId="19" xfId="0" applyFont="1" applyFill="1" applyBorder="1" applyAlignment="1">
      <alignment horizontal="center" vertical="center" wrapText="1" readingOrder="2"/>
    </xf>
    <xf numFmtId="0" fontId="5" fillId="0" borderId="19" xfId="0" applyFont="1" applyBorder="1" applyAlignment="1">
      <alignment horizontal="center" vertical="center" wrapText="1" readingOrder="2"/>
    </xf>
    <xf numFmtId="0" fontId="5" fillId="2" borderId="19" xfId="0" applyFont="1" applyFill="1" applyBorder="1" applyAlignment="1">
      <alignment horizontal="center" vertical="center" wrapText="1" readingOrder="2"/>
    </xf>
    <xf numFmtId="9" fontId="5" fillId="0" borderId="19" xfId="0" applyNumberFormat="1" applyFont="1" applyBorder="1" applyAlignment="1">
      <alignment horizontal="center" vertical="center" wrapText="1" readingOrder="2"/>
    </xf>
    <xf numFmtId="2" fontId="5" fillId="0" borderId="19" xfId="0" applyNumberFormat="1" applyFont="1" applyBorder="1" applyAlignment="1">
      <alignment horizontal="center" vertical="center" wrapText="1" readingOrder="2"/>
    </xf>
    <xf numFmtId="0" fontId="7" fillId="0" borderId="0" xfId="0" applyFont="1" applyBorder="1" applyAlignment="1">
      <alignment vertical="center" wrapText="1"/>
    </xf>
    <xf numFmtId="166" fontId="5" fillId="2" borderId="19" xfId="0" applyNumberFormat="1" applyFont="1" applyFill="1" applyBorder="1" applyAlignment="1">
      <alignment horizontal="center" vertical="center" wrapText="1" readingOrder="2"/>
    </xf>
    <xf numFmtId="4" fontId="5" fillId="0" borderId="19" xfId="0" applyNumberFormat="1" applyFont="1" applyBorder="1" applyAlignment="1">
      <alignment horizontal="center" vertical="center" wrapText="1" readingOrder="2"/>
    </xf>
    <xf numFmtId="0" fontId="7" fillId="0" borderId="1" xfId="0" applyFont="1" applyBorder="1" applyAlignment="1">
      <alignment horizontal="center" vertical="center" wrapText="1"/>
    </xf>
    <xf numFmtId="164" fontId="5" fillId="8" borderId="19" xfId="0" applyNumberFormat="1" applyFont="1" applyFill="1" applyBorder="1" applyAlignment="1">
      <alignment horizontal="center" vertical="center" wrapText="1" readingOrder="2"/>
    </xf>
    <xf numFmtId="1" fontId="5" fillId="0" borderId="41" xfId="0" applyNumberFormat="1" applyFont="1" applyBorder="1" applyAlignment="1">
      <alignment horizontal="center" vertical="center" wrapText="1" readingOrder="2"/>
    </xf>
    <xf numFmtId="0" fontId="54" fillId="0" borderId="0" xfId="0" applyFont="1" applyBorder="1" applyAlignment="1">
      <alignment vertical="center" wrapText="1"/>
    </xf>
    <xf numFmtId="0" fontId="54" fillId="0" borderId="0" xfId="0" applyFont="1" applyBorder="1" applyAlignment="1">
      <alignment horizontal="center" vertical="center" wrapText="1"/>
    </xf>
    <xf numFmtId="1" fontId="5" fillId="0" borderId="19" xfId="0" applyNumberFormat="1" applyFont="1" applyBorder="1" applyAlignment="1">
      <alignment horizontal="center" vertical="center" wrapText="1" readingOrder="2"/>
    </xf>
    <xf numFmtId="0" fontId="33" fillId="18" borderId="19" xfId="0" applyFont="1" applyFill="1" applyBorder="1" applyAlignment="1">
      <alignment horizontal="center" vertical="center" wrapText="1"/>
    </xf>
    <xf numFmtId="0" fontId="33" fillId="0" borderId="19" xfId="0" applyFont="1" applyBorder="1" applyAlignment="1">
      <alignment horizontal="center" vertical="center" wrapText="1"/>
    </xf>
    <xf numFmtId="2" fontId="31" fillId="0" borderId="19" xfId="0" applyNumberFormat="1" applyFont="1" applyBorder="1" applyAlignment="1">
      <alignment horizontal="center" vertical="center" wrapText="1" readingOrder="2"/>
    </xf>
    <xf numFmtId="0" fontId="5" fillId="3" borderId="0" xfId="0" applyFont="1" applyFill="1" applyAlignment="1">
      <alignment horizontal="center" vertical="center" wrapText="1" readingOrder="2"/>
    </xf>
    <xf numFmtId="0" fontId="5" fillId="0" borderId="0" xfId="0" applyFont="1" applyAlignment="1">
      <alignment horizontal="center" vertical="center" wrapText="1" readingOrder="2"/>
    </xf>
    <xf numFmtId="2" fontId="5" fillId="0" borderId="0" xfId="0" applyNumberFormat="1" applyFont="1" applyAlignment="1">
      <alignment horizontal="center" vertical="center" wrapText="1" readingOrder="2"/>
    </xf>
    <xf numFmtId="9" fontId="31" fillId="2" borderId="19" xfId="1" applyFont="1" applyFill="1" applyBorder="1" applyAlignment="1">
      <alignment horizontal="center" vertical="center" wrapText="1" readingOrder="2"/>
    </xf>
    <xf numFmtId="4" fontId="5" fillId="2" borderId="19" xfId="0" applyNumberFormat="1" applyFont="1" applyFill="1" applyBorder="1" applyAlignment="1">
      <alignment horizontal="center" vertical="center" wrapText="1" readingOrder="2"/>
    </xf>
    <xf numFmtId="9" fontId="5" fillId="2" borderId="19" xfId="0" applyNumberFormat="1" applyFont="1" applyFill="1" applyBorder="1" applyAlignment="1">
      <alignment horizontal="center" vertical="center" wrapText="1" readingOrder="2"/>
    </xf>
    <xf numFmtId="2" fontId="5" fillId="2" borderId="19" xfId="0" applyNumberFormat="1" applyFont="1" applyFill="1" applyBorder="1" applyAlignment="1">
      <alignment horizontal="center" vertical="center" wrapText="1" readingOrder="2"/>
    </xf>
    <xf numFmtId="0" fontId="78" fillId="0" borderId="0" xfId="0" applyFont="1" applyAlignment="1">
      <alignment horizontal="center" vertical="center" wrapText="1" readingOrder="2"/>
    </xf>
    <xf numFmtId="164" fontId="42" fillId="23" borderId="19" xfId="0" applyNumberFormat="1" applyFont="1" applyFill="1" applyBorder="1" applyAlignment="1">
      <alignment horizontal="center" vertical="center" wrapText="1" readingOrder="2"/>
    </xf>
    <xf numFmtId="0" fontId="79" fillId="0" borderId="0" xfId="0" applyFont="1" applyBorder="1" applyAlignment="1">
      <alignment wrapText="1"/>
    </xf>
    <xf numFmtId="0" fontId="79" fillId="0" borderId="0" xfId="0" applyFont="1" applyAlignment="1">
      <alignment wrapText="1"/>
    </xf>
    <xf numFmtId="0" fontId="34" fillId="0" borderId="1" xfId="2" applyFont="1" applyBorder="1" applyAlignment="1" applyProtection="1">
      <alignment horizontal="center" vertical="center" wrapText="1"/>
    </xf>
    <xf numFmtId="2" fontId="5" fillId="0" borderId="41" xfId="0" applyNumberFormat="1" applyFont="1" applyBorder="1" applyAlignment="1">
      <alignment horizontal="center" vertical="center" wrapText="1" readingOrder="2"/>
    </xf>
    <xf numFmtId="2" fontId="74" fillId="23" borderId="19" xfId="0" applyNumberFormat="1" applyFont="1" applyFill="1" applyBorder="1" applyAlignment="1">
      <alignment horizontal="center" vertical="center" readingOrder="2"/>
    </xf>
    <xf numFmtId="0" fontId="81" fillId="0" borderId="0" xfId="0" applyFont="1" applyAlignment="1">
      <alignment horizontal="center" vertical="center"/>
    </xf>
    <xf numFmtId="0" fontId="78" fillId="0" borderId="0" xfId="0" applyFont="1" applyAlignment="1">
      <alignment horizontal="center" vertical="center" readingOrder="2"/>
    </xf>
    <xf numFmtId="0" fontId="79" fillId="0" borderId="0" xfId="0" applyFont="1" applyAlignment="1">
      <alignment horizontal="center" vertical="center"/>
    </xf>
    <xf numFmtId="0" fontId="42" fillId="2" borderId="0" xfId="0" applyFont="1" applyFill="1" applyBorder="1" applyAlignment="1">
      <alignment vertical="center" readingOrder="2"/>
    </xf>
    <xf numFmtId="0" fontId="42" fillId="11" borderId="19" xfId="0" applyFont="1" applyFill="1" applyBorder="1" applyAlignment="1">
      <alignment horizontal="center" vertical="center" readingOrder="2"/>
    </xf>
    <xf numFmtId="2" fontId="42" fillId="11" borderId="19" xfId="0" applyNumberFormat="1" applyFont="1" applyFill="1" applyBorder="1" applyAlignment="1">
      <alignment horizontal="center" vertical="center" readingOrder="2"/>
    </xf>
    <xf numFmtId="0" fontId="78" fillId="2" borderId="19" xfId="0" applyFont="1" applyFill="1" applyBorder="1" applyAlignment="1">
      <alignment horizontal="center" vertical="center" readingOrder="2"/>
    </xf>
    <xf numFmtId="0" fontId="42" fillId="2" borderId="19" xfId="0" applyFont="1" applyFill="1" applyBorder="1" applyAlignment="1">
      <alignment horizontal="center" vertical="center" readingOrder="2"/>
    </xf>
    <xf numFmtId="0" fontId="78" fillId="0" borderId="19" xfId="0" applyFont="1" applyBorder="1" applyAlignment="1">
      <alignment horizontal="center" vertical="center" readingOrder="2"/>
    </xf>
    <xf numFmtId="2" fontId="42" fillId="0" borderId="19" xfId="0" applyNumberFormat="1" applyFont="1" applyBorder="1" applyAlignment="1">
      <alignment horizontal="center" vertical="center" readingOrder="2"/>
    </xf>
    <xf numFmtId="0" fontId="78" fillId="0" borderId="19" xfId="0" applyFont="1" applyFill="1" applyBorder="1" applyAlignment="1">
      <alignment horizontal="center" vertical="center" readingOrder="2"/>
    </xf>
    <xf numFmtId="9" fontId="42" fillId="0" borderId="19" xfId="0" applyNumberFormat="1" applyFont="1" applyFill="1" applyBorder="1" applyAlignment="1">
      <alignment horizontal="center" vertical="center" readingOrder="2"/>
    </xf>
    <xf numFmtId="2" fontId="42" fillId="0" borderId="19" xfId="0" applyNumberFormat="1" applyFont="1" applyFill="1" applyBorder="1" applyAlignment="1">
      <alignment horizontal="center" vertical="center" readingOrder="2"/>
    </xf>
    <xf numFmtId="0" fontId="82" fillId="0" borderId="19" xfId="0" applyFont="1" applyFill="1" applyBorder="1" applyAlignment="1">
      <alignment horizontal="center" vertical="center" readingOrder="2"/>
    </xf>
    <xf numFmtId="0" fontId="78" fillId="11" borderId="19" xfId="0" applyFont="1" applyFill="1" applyBorder="1" applyAlignment="1">
      <alignment horizontal="center" vertical="center" readingOrder="2"/>
    </xf>
    <xf numFmtId="2" fontId="42" fillId="2" borderId="19" xfId="0" applyNumberFormat="1" applyFont="1" applyFill="1" applyBorder="1" applyAlignment="1">
      <alignment horizontal="center" vertical="center" readingOrder="2"/>
    </xf>
    <xf numFmtId="0" fontId="42" fillId="8" borderId="19" xfId="0" applyFont="1" applyFill="1" applyBorder="1" applyAlignment="1">
      <alignment horizontal="center" vertical="center" readingOrder="2"/>
    </xf>
    <xf numFmtId="2" fontId="42" fillId="8" borderId="19" xfId="0" applyNumberFormat="1" applyFont="1" applyFill="1" applyBorder="1" applyAlignment="1">
      <alignment horizontal="center" vertical="center" readingOrder="2"/>
    </xf>
    <xf numFmtId="165" fontId="42" fillId="0" borderId="19" xfId="0" applyNumberFormat="1" applyFont="1" applyBorder="1" applyAlignment="1">
      <alignment horizontal="center" vertical="center" readingOrder="2"/>
    </xf>
    <xf numFmtId="0" fontId="49" fillId="0" borderId="0" xfId="0" applyFont="1" applyBorder="1" applyAlignment="1">
      <alignment horizontal="center" vertical="center"/>
    </xf>
    <xf numFmtId="0" fontId="42" fillId="13" borderId="19" xfId="0" applyFont="1" applyFill="1" applyBorder="1" applyAlignment="1">
      <alignment horizontal="center" vertical="center" readingOrder="2"/>
    </xf>
    <xf numFmtId="0" fontId="42" fillId="14" borderId="19" xfId="0" applyFont="1" applyFill="1" applyBorder="1" applyAlignment="1">
      <alignment horizontal="center" vertical="center" readingOrder="2"/>
    </xf>
    <xf numFmtId="0" fontId="42" fillId="10" borderId="19" xfId="0" applyFont="1" applyFill="1" applyBorder="1" applyAlignment="1">
      <alignment horizontal="center" vertical="center" readingOrder="2"/>
    </xf>
    <xf numFmtId="2" fontId="42" fillId="8" borderId="57" xfId="0" applyNumberFormat="1" applyFont="1" applyFill="1" applyBorder="1" applyAlignment="1">
      <alignment horizontal="center" vertical="center" readingOrder="2"/>
    </xf>
    <xf numFmtId="0" fontId="78" fillId="0" borderId="77" xfId="0" applyFont="1" applyBorder="1" applyAlignment="1">
      <alignment horizontal="center" vertical="center" readingOrder="2"/>
    </xf>
    <xf numFmtId="0" fontId="78" fillId="0" borderId="38" xfId="0" applyFont="1" applyBorder="1" applyAlignment="1">
      <alignment horizontal="center" vertical="center" readingOrder="2"/>
    </xf>
    <xf numFmtId="2" fontId="42" fillId="0" borderId="25" xfId="0" applyNumberFormat="1" applyFont="1" applyBorder="1" applyAlignment="1">
      <alignment horizontal="center" vertical="center" readingOrder="2"/>
    </xf>
    <xf numFmtId="2" fontId="42" fillId="0" borderId="0" xfId="0" applyNumberFormat="1" applyFont="1" applyAlignment="1">
      <alignment horizontal="center" vertical="center" readingOrder="2"/>
    </xf>
    <xf numFmtId="0" fontId="42" fillId="3" borderId="0" xfId="0" applyFont="1" applyFill="1" applyAlignment="1">
      <alignment horizontal="center" vertical="center" readingOrder="2"/>
    </xf>
    <xf numFmtId="0" fontId="78" fillId="2" borderId="0" xfId="0" applyFont="1" applyFill="1" applyAlignment="1">
      <alignment horizontal="center" vertical="center" readingOrder="2"/>
    </xf>
    <xf numFmtId="0" fontId="42" fillId="0" borderId="0" xfId="0" applyFont="1" applyAlignment="1">
      <alignment horizontal="center" vertical="center" readingOrder="2"/>
    </xf>
    <xf numFmtId="0" fontId="74" fillId="11" borderId="19" xfId="0" applyFont="1" applyFill="1" applyBorder="1" applyAlignment="1">
      <alignment horizontal="center" vertical="center" readingOrder="2"/>
    </xf>
    <xf numFmtId="164" fontId="74" fillId="11" borderId="19" xfId="0" applyNumberFormat="1" applyFont="1" applyFill="1" applyBorder="1" applyAlignment="1">
      <alignment horizontal="center" vertical="center" readingOrder="2"/>
    </xf>
    <xf numFmtId="0" fontId="3" fillId="2" borderId="19" xfId="0" applyFont="1" applyFill="1" applyBorder="1" applyAlignment="1">
      <alignment horizontal="center" vertical="center" readingOrder="2"/>
    </xf>
    <xf numFmtId="0" fontId="74" fillId="2" borderId="19" xfId="0" applyFont="1" applyFill="1" applyBorder="1" applyAlignment="1">
      <alignment horizontal="center" vertical="center" readingOrder="2"/>
    </xf>
    <xf numFmtId="0" fontId="74" fillId="2" borderId="19" xfId="0" applyNumberFormat="1" applyFont="1" applyFill="1" applyBorder="1" applyAlignment="1">
      <alignment horizontal="center" vertical="center" readingOrder="2"/>
    </xf>
    <xf numFmtId="165" fontId="74" fillId="0" borderId="19" xfId="0" applyNumberFormat="1" applyFont="1" applyFill="1" applyBorder="1" applyAlignment="1">
      <alignment horizontal="center" vertical="center" readingOrder="2"/>
    </xf>
    <xf numFmtId="9" fontId="74" fillId="2" borderId="19" xfId="0" applyNumberFormat="1" applyFont="1" applyFill="1" applyBorder="1" applyAlignment="1">
      <alignment horizontal="center" vertical="center" readingOrder="2"/>
    </xf>
    <xf numFmtId="164" fontId="74" fillId="2" borderId="19" xfId="0" applyNumberFormat="1" applyFont="1" applyFill="1" applyBorder="1" applyAlignment="1">
      <alignment horizontal="center" vertical="center" readingOrder="2"/>
    </xf>
    <xf numFmtId="0" fontId="83" fillId="2" borderId="19" xfId="0" applyFont="1" applyFill="1" applyBorder="1" applyAlignment="1">
      <alignment horizontal="center" vertical="center" readingOrder="2"/>
    </xf>
    <xf numFmtId="165" fontId="74" fillId="2" borderId="19" xfId="0" applyNumberFormat="1" applyFont="1" applyFill="1" applyBorder="1" applyAlignment="1">
      <alignment horizontal="center" vertical="center" readingOrder="2"/>
    </xf>
    <xf numFmtId="0" fontId="3" fillId="2" borderId="19" xfId="0" applyFont="1" applyFill="1" applyBorder="1" applyAlignment="1">
      <alignment horizontal="center" vertical="center" wrapText="1" readingOrder="2"/>
    </xf>
    <xf numFmtId="0" fontId="83" fillId="2" borderId="19" xfId="0" applyFont="1" applyFill="1" applyBorder="1" applyAlignment="1">
      <alignment horizontal="center" vertical="center" wrapText="1" readingOrder="2"/>
    </xf>
    <xf numFmtId="164" fontId="74" fillId="8" borderId="19" xfId="0" applyNumberFormat="1" applyFont="1" applyFill="1" applyBorder="1" applyAlignment="1">
      <alignment horizontal="center" vertical="center" readingOrder="2"/>
    </xf>
    <xf numFmtId="0" fontId="3" fillId="0" borderId="19" xfId="0" applyFont="1" applyFill="1" applyBorder="1" applyAlignment="1">
      <alignment horizontal="center" vertical="center" readingOrder="2"/>
    </xf>
    <xf numFmtId="0" fontId="74" fillId="0" borderId="19" xfId="0" applyFont="1" applyFill="1" applyBorder="1" applyAlignment="1">
      <alignment horizontal="center" vertical="center" readingOrder="2"/>
    </xf>
    <xf numFmtId="0" fontId="74" fillId="0" borderId="19" xfId="0" applyNumberFormat="1" applyFont="1" applyFill="1" applyBorder="1" applyAlignment="1">
      <alignment horizontal="center" vertical="center" readingOrder="2"/>
    </xf>
    <xf numFmtId="9" fontId="74" fillId="0" borderId="19" xfId="0" applyNumberFormat="1" applyFont="1" applyFill="1" applyBorder="1" applyAlignment="1">
      <alignment horizontal="center" vertical="center" readingOrder="2"/>
    </xf>
    <xf numFmtId="164" fontId="74" fillId="0" borderId="19" xfId="0" applyNumberFormat="1" applyFont="1" applyFill="1" applyBorder="1" applyAlignment="1">
      <alignment horizontal="center" vertical="center" readingOrder="2"/>
    </xf>
    <xf numFmtId="0" fontId="3" fillId="0" borderId="19" xfId="0" applyFont="1" applyFill="1" applyBorder="1" applyAlignment="1">
      <alignment horizontal="center" vertical="center" wrapText="1" readingOrder="2"/>
    </xf>
    <xf numFmtId="0" fontId="83" fillId="0" borderId="19" xfId="0" applyFont="1" applyBorder="1" applyAlignment="1">
      <alignment horizontal="center" vertical="center" wrapText="1" readingOrder="2"/>
    </xf>
    <xf numFmtId="0" fontId="74" fillId="0" borderId="19" xfId="0" applyFont="1" applyBorder="1" applyAlignment="1">
      <alignment horizontal="center" vertical="center" readingOrder="2"/>
    </xf>
    <xf numFmtId="2" fontId="74" fillId="0" borderId="19" xfId="0" applyNumberFormat="1" applyFont="1" applyFill="1" applyBorder="1" applyAlignment="1">
      <alignment horizontal="center" vertical="center" readingOrder="2"/>
    </xf>
    <xf numFmtId="0" fontId="3" fillId="3" borderId="19" xfId="0" applyFont="1" applyFill="1" applyBorder="1" applyAlignment="1">
      <alignment horizontal="center" vertical="center" readingOrder="2"/>
    </xf>
    <xf numFmtId="164" fontId="74" fillId="0" borderId="19" xfId="0" applyNumberFormat="1" applyFont="1" applyBorder="1" applyAlignment="1">
      <alignment horizontal="center" vertical="center" readingOrder="2"/>
    </xf>
    <xf numFmtId="0" fontId="3" fillId="0" borderId="19" xfId="0" applyFont="1" applyBorder="1" applyAlignment="1">
      <alignment horizontal="center" vertical="center" readingOrder="2"/>
    </xf>
    <xf numFmtId="164" fontId="74" fillId="12" borderId="19" xfId="0" applyNumberFormat="1" applyFont="1" applyFill="1" applyBorder="1" applyAlignment="1">
      <alignment horizontal="center" vertical="center" readingOrder="2"/>
    </xf>
    <xf numFmtId="2" fontId="74" fillId="0" borderId="19" xfId="0" applyNumberFormat="1" applyFont="1" applyBorder="1" applyAlignment="1">
      <alignment horizontal="center" vertical="center" readingOrder="2"/>
    </xf>
    <xf numFmtId="9" fontId="74" fillId="0" borderId="19" xfId="0" applyNumberFormat="1" applyFont="1" applyBorder="1" applyAlignment="1">
      <alignment horizontal="center" vertical="center" readingOrder="2"/>
    </xf>
    <xf numFmtId="0" fontId="74" fillId="10" borderId="19" xfId="0" applyFont="1" applyFill="1" applyBorder="1" applyAlignment="1">
      <alignment horizontal="center" vertical="center" readingOrder="2"/>
    </xf>
    <xf numFmtId="0" fontId="74" fillId="12" borderId="19" xfId="0" applyFont="1" applyFill="1" applyBorder="1" applyAlignment="1">
      <alignment horizontal="center" vertical="center" readingOrder="2"/>
    </xf>
    <xf numFmtId="0" fontId="74" fillId="12" borderId="19" xfId="0" applyNumberFormat="1" applyFont="1" applyFill="1" applyBorder="1" applyAlignment="1">
      <alignment horizontal="center" vertical="center" readingOrder="2"/>
    </xf>
    <xf numFmtId="0" fontId="74" fillId="0" borderId="0" xfId="0" applyFont="1" applyAlignment="1">
      <alignment horizontal="center" vertical="center" readingOrder="2"/>
    </xf>
    <xf numFmtId="164" fontId="74" fillId="0" borderId="0" xfId="0" applyNumberFormat="1" applyFont="1" applyAlignment="1">
      <alignment horizontal="center" vertical="center" readingOrder="2"/>
    </xf>
    <xf numFmtId="0" fontId="3" fillId="3" borderId="0" xfId="0" applyFont="1" applyFill="1" applyAlignment="1">
      <alignment horizontal="center" vertical="center" readingOrder="2"/>
    </xf>
    <xf numFmtId="0" fontId="84" fillId="23" borderId="19" xfId="0" applyFont="1" applyFill="1" applyBorder="1" applyAlignment="1">
      <alignment horizontal="center" vertical="center" readingOrder="2"/>
    </xf>
    <xf numFmtId="164" fontId="75" fillId="23" borderId="19" xfId="0" applyNumberFormat="1" applyFont="1" applyFill="1" applyBorder="1" applyAlignment="1">
      <alignment horizontal="center" vertical="center" readingOrder="2"/>
    </xf>
    <xf numFmtId="0" fontId="3" fillId="0" borderId="0" xfId="0" applyFont="1" applyAlignment="1">
      <alignment horizontal="center" vertical="center" wrapText="1" readingOrder="2"/>
    </xf>
    <xf numFmtId="0" fontId="74" fillId="11" borderId="19" xfId="0" applyFont="1" applyFill="1" applyBorder="1" applyAlignment="1">
      <alignment horizontal="center" vertical="center" wrapText="1" readingOrder="2"/>
    </xf>
    <xf numFmtId="0" fontId="3" fillId="0" borderId="19" xfId="0" applyFont="1" applyFill="1" applyBorder="1" applyAlignment="1">
      <alignment horizontal="right" vertical="center" readingOrder="2"/>
    </xf>
    <xf numFmtId="0" fontId="3" fillId="0" borderId="19" xfId="0" applyFont="1" applyBorder="1" applyAlignment="1">
      <alignment horizontal="right" vertical="center" readingOrder="2"/>
    </xf>
    <xf numFmtId="1" fontId="74" fillId="2" borderId="19" xfId="0" applyNumberFormat="1" applyFont="1" applyFill="1" applyBorder="1" applyAlignment="1">
      <alignment horizontal="center" vertical="center" readingOrder="2"/>
    </xf>
    <xf numFmtId="0" fontId="3" fillId="0" borderId="19" xfId="0" applyFont="1" applyBorder="1" applyAlignment="1">
      <alignment horizontal="center" vertical="center" wrapText="1" readingOrder="2"/>
    </xf>
    <xf numFmtId="0" fontId="3" fillId="0" borderId="83" xfId="0" applyFont="1" applyBorder="1" applyAlignment="1">
      <alignment horizontal="center" vertical="center" readingOrder="2"/>
    </xf>
    <xf numFmtId="0" fontId="3" fillId="0" borderId="14" xfId="0" applyFont="1" applyBorder="1" applyAlignment="1">
      <alignment horizontal="center" vertical="center" readingOrder="2"/>
    </xf>
    <xf numFmtId="0" fontId="3" fillId="0" borderId="86" xfId="0" applyFont="1" applyBorder="1" applyAlignment="1">
      <alignment horizontal="center" vertical="center" readingOrder="2"/>
    </xf>
    <xf numFmtId="0" fontId="3" fillId="0" borderId="84" xfId="0" applyFont="1" applyBorder="1" applyAlignment="1">
      <alignment horizontal="center" vertical="center" readingOrder="2"/>
    </xf>
    <xf numFmtId="0" fontId="3" fillId="0" borderId="0" xfId="0" applyFont="1" applyBorder="1" applyAlignment="1">
      <alignment horizontal="center" vertical="center" readingOrder="2"/>
    </xf>
    <xf numFmtId="0" fontId="3" fillId="0" borderId="99" xfId="0" applyFont="1" applyBorder="1" applyAlignment="1">
      <alignment horizontal="center" vertical="center" readingOrder="2"/>
    </xf>
    <xf numFmtId="0" fontId="3" fillId="0" borderId="45" xfId="0" applyFont="1" applyBorder="1" applyAlignment="1">
      <alignment horizontal="center" vertical="center" readingOrder="2"/>
    </xf>
    <xf numFmtId="0" fontId="85" fillId="0" borderId="2" xfId="0" applyFont="1" applyBorder="1" applyAlignment="1">
      <alignment horizontal="right" readingOrder="2"/>
    </xf>
    <xf numFmtId="0" fontId="3" fillId="0" borderId="2" xfId="0" applyFont="1" applyBorder="1" applyAlignment="1">
      <alignment horizontal="center" vertical="center" readingOrder="2"/>
    </xf>
    <xf numFmtId="0" fontId="3" fillId="0" borderId="16" xfId="0" applyFont="1" applyBorder="1" applyAlignment="1">
      <alignment horizontal="center" vertical="center" readingOrder="2"/>
    </xf>
    <xf numFmtId="0" fontId="86" fillId="23" borderId="19" xfId="0" applyFont="1" applyFill="1" applyBorder="1" applyAlignment="1">
      <alignment horizontal="center" vertical="center" readingOrder="2"/>
    </xf>
    <xf numFmtId="0" fontId="56" fillId="23" borderId="19" xfId="0" applyFont="1" applyFill="1" applyBorder="1" applyAlignment="1">
      <alignment horizontal="center" vertical="center" readingOrder="2"/>
    </xf>
    <xf numFmtId="164" fontId="76" fillId="23" borderId="19" xfId="0" applyNumberFormat="1" applyFont="1" applyFill="1" applyBorder="1" applyAlignment="1">
      <alignment horizontal="center" vertical="center" readingOrder="2"/>
    </xf>
    <xf numFmtId="0" fontId="56" fillId="0" borderId="0" xfId="0" applyFont="1" applyAlignment="1">
      <alignment horizontal="center" vertical="center" readingOrder="2"/>
    </xf>
    <xf numFmtId="0" fontId="7" fillId="0" borderId="0" xfId="0" applyFont="1" applyFill="1" applyBorder="1" applyAlignment="1">
      <alignment vertical="center" readingOrder="2"/>
    </xf>
    <xf numFmtId="0" fontId="50" fillId="0" borderId="0" xfId="0" applyFont="1" applyFill="1" applyAlignment="1">
      <alignment horizontal="center" vertical="center" readingOrder="2"/>
    </xf>
    <xf numFmtId="0" fontId="91" fillId="11" borderId="19" xfId="0" applyFont="1" applyFill="1" applyBorder="1" applyAlignment="1">
      <alignment horizontal="center" vertical="center" readingOrder="2"/>
    </xf>
    <xf numFmtId="0" fontId="51" fillId="11" borderId="19" xfId="0" applyFont="1" applyFill="1" applyBorder="1" applyAlignment="1">
      <alignment horizontal="center" vertical="center" readingOrder="2"/>
    </xf>
    <xf numFmtId="0" fontId="92" fillId="0" borderId="19" xfId="0" applyFont="1" applyFill="1" applyBorder="1" applyAlignment="1">
      <alignment horizontal="center" vertical="center" readingOrder="2"/>
    </xf>
    <xf numFmtId="0" fontId="50" fillId="0" borderId="19" xfId="0" applyFont="1" applyFill="1" applyBorder="1" applyAlignment="1">
      <alignment horizontal="center" vertical="center" readingOrder="2"/>
    </xf>
    <xf numFmtId="0" fontId="51" fillId="0" borderId="19" xfId="0" applyFont="1" applyFill="1" applyBorder="1" applyAlignment="1">
      <alignment horizontal="center" vertical="center" readingOrder="2"/>
    </xf>
    <xf numFmtId="9" fontId="51" fillId="0" borderId="19" xfId="0" applyNumberFormat="1" applyFont="1" applyFill="1" applyBorder="1" applyAlignment="1">
      <alignment horizontal="center" vertical="center" readingOrder="2"/>
    </xf>
    <xf numFmtId="164" fontId="51" fillId="0" borderId="19" xfId="0" applyNumberFormat="1" applyFont="1" applyFill="1" applyBorder="1" applyAlignment="1">
      <alignment horizontal="center" vertical="center" readingOrder="2"/>
    </xf>
    <xf numFmtId="0" fontId="51" fillId="0" borderId="19" xfId="0" applyNumberFormat="1" applyFont="1" applyFill="1" applyBorder="1" applyAlignment="1">
      <alignment horizontal="center" vertical="center" readingOrder="2"/>
    </xf>
    <xf numFmtId="165" fontId="51" fillId="0" borderId="19" xfId="0" applyNumberFormat="1" applyFont="1" applyFill="1" applyBorder="1" applyAlignment="1">
      <alignment horizontal="center" vertical="center" readingOrder="2"/>
    </xf>
    <xf numFmtId="2" fontId="51" fillId="0" borderId="19" xfId="0" applyNumberFormat="1" applyFont="1" applyFill="1" applyBorder="1" applyAlignment="1">
      <alignment horizontal="center" vertical="center" readingOrder="2"/>
    </xf>
    <xf numFmtId="0" fontId="50" fillId="0" borderId="19" xfId="0" applyFont="1" applyFill="1" applyBorder="1" applyAlignment="1">
      <alignment horizontal="center" vertical="center" wrapText="1" readingOrder="2"/>
    </xf>
    <xf numFmtId="0" fontId="50" fillId="0" borderId="0" xfId="0" applyFont="1" applyBorder="1" applyAlignment="1">
      <alignment horizontal="center" vertical="center" readingOrder="2"/>
    </xf>
    <xf numFmtId="0" fontId="92" fillId="0" borderId="19" xfId="0" applyFont="1" applyBorder="1" applyAlignment="1">
      <alignment horizontal="center" vertical="center" readingOrder="2"/>
    </xf>
    <xf numFmtId="0" fontId="51" fillId="2" borderId="19" xfId="0" applyFont="1" applyFill="1" applyBorder="1" applyAlignment="1">
      <alignment horizontal="center" vertical="center" readingOrder="2"/>
    </xf>
    <xf numFmtId="9" fontId="51" fillId="0" borderId="19" xfId="0" applyNumberFormat="1" applyFont="1" applyBorder="1" applyAlignment="1">
      <alignment horizontal="center" vertical="center" readingOrder="2"/>
    </xf>
    <xf numFmtId="0" fontId="51" fillId="2" borderId="19" xfId="0" applyNumberFormat="1" applyFont="1" applyFill="1" applyBorder="1" applyAlignment="1">
      <alignment horizontal="center" vertical="center" readingOrder="2"/>
    </xf>
    <xf numFmtId="165" fontId="51" fillId="2" borderId="19" xfId="0" applyNumberFormat="1" applyFont="1" applyFill="1" applyBorder="1" applyAlignment="1">
      <alignment horizontal="center" vertical="center" readingOrder="2"/>
    </xf>
    <xf numFmtId="2" fontId="51" fillId="2" borderId="19" xfId="0" applyNumberFormat="1" applyFont="1" applyFill="1" applyBorder="1" applyAlignment="1">
      <alignment horizontal="center" vertical="center" readingOrder="2"/>
    </xf>
    <xf numFmtId="9" fontId="51" fillId="2" borderId="19" xfId="0" applyNumberFormat="1" applyFont="1" applyFill="1" applyBorder="1" applyAlignment="1">
      <alignment horizontal="center" vertical="center" readingOrder="2"/>
    </xf>
    <xf numFmtId="0" fontId="92" fillId="0" borderId="49" xfId="0" applyFont="1" applyBorder="1" applyAlignment="1">
      <alignment horizontal="center" vertical="center" readingOrder="2"/>
    </xf>
    <xf numFmtId="164" fontId="51" fillId="2" borderId="19" xfId="0" applyNumberFormat="1" applyFont="1" applyFill="1" applyBorder="1" applyAlignment="1">
      <alignment horizontal="center" vertical="center" readingOrder="2"/>
    </xf>
    <xf numFmtId="0" fontId="7" fillId="0" borderId="0" xfId="0" applyFont="1" applyAlignment="1">
      <alignment vertical="center" readingOrder="2"/>
    </xf>
    <xf numFmtId="0" fontId="7" fillId="0" borderId="0" xfId="0" applyFont="1" applyBorder="1" applyAlignment="1">
      <alignment vertical="center" readingOrder="2"/>
    </xf>
    <xf numFmtId="0" fontId="7" fillId="0" borderId="0" xfId="0" applyFont="1" applyFill="1" applyAlignment="1">
      <alignment vertical="center" readingOrder="2"/>
    </xf>
    <xf numFmtId="165" fontId="51" fillId="0" borderId="19" xfId="0" applyNumberFormat="1" applyFont="1" applyBorder="1" applyAlignment="1">
      <alignment horizontal="center" vertical="center" readingOrder="2"/>
    </xf>
    <xf numFmtId="2" fontId="51" fillId="0" borderId="19" xfId="0" applyNumberFormat="1" applyFont="1" applyBorder="1" applyAlignment="1">
      <alignment horizontal="center" vertical="center" readingOrder="2"/>
    </xf>
    <xf numFmtId="0" fontId="92" fillId="0" borderId="0" xfId="0" applyFont="1" applyAlignment="1">
      <alignment horizontal="center" vertical="center" readingOrder="2"/>
    </xf>
    <xf numFmtId="0" fontId="50" fillId="3" borderId="0" xfId="0" applyFont="1" applyFill="1" applyAlignment="1">
      <alignment horizontal="center" vertical="center" readingOrder="2"/>
    </xf>
    <xf numFmtId="0" fontId="50" fillId="0" borderId="49" xfId="0" applyFont="1" applyBorder="1" applyAlignment="1">
      <alignment horizontal="center" vertical="center" readingOrder="2"/>
    </xf>
    <xf numFmtId="0" fontId="90" fillId="0" borderId="0" xfId="0" applyFont="1" applyFill="1" applyBorder="1" applyAlignment="1">
      <alignment vertical="center" readingOrder="2"/>
    </xf>
    <xf numFmtId="0" fontId="50" fillId="2" borderId="0" xfId="0" applyFont="1" applyFill="1" applyAlignment="1">
      <alignment horizontal="center" vertical="center" readingOrder="2"/>
    </xf>
    <xf numFmtId="2" fontId="93" fillId="3" borderId="1" xfId="0" applyNumberFormat="1" applyFont="1" applyFill="1" applyBorder="1" applyAlignment="1">
      <alignment horizontal="center" vertical="center" readingOrder="2"/>
    </xf>
    <xf numFmtId="10" fontId="93" fillId="3" borderId="1" xfId="0" applyNumberFormat="1" applyFont="1" applyFill="1" applyBorder="1" applyAlignment="1">
      <alignment horizontal="center" vertical="center" readingOrder="2"/>
    </xf>
    <xf numFmtId="0" fontId="92" fillId="0" borderId="15" xfId="0" applyFont="1" applyFill="1" applyBorder="1" applyAlignment="1">
      <alignment horizontal="center" vertical="center" readingOrder="2"/>
    </xf>
    <xf numFmtId="0" fontId="50" fillId="0" borderId="15" xfId="0" applyFont="1" applyBorder="1" applyAlignment="1">
      <alignment horizontal="right" vertical="center" wrapText="1" readingOrder="2"/>
    </xf>
    <xf numFmtId="0" fontId="50" fillId="0" borderId="4" xfId="0" applyFont="1" applyBorder="1" applyAlignment="1">
      <alignment horizontal="center" vertical="center" readingOrder="2"/>
    </xf>
    <xf numFmtId="0" fontId="51" fillId="0" borderId="4" xfId="0" applyFont="1" applyBorder="1" applyAlignment="1">
      <alignment horizontal="center" vertical="center" readingOrder="2"/>
    </xf>
    <xf numFmtId="0" fontId="51" fillId="4" borderId="4" xfId="0" applyFont="1" applyFill="1" applyBorder="1" applyAlignment="1">
      <alignment horizontal="center" vertical="center" readingOrder="2"/>
    </xf>
    <xf numFmtId="2" fontId="51" fillId="0" borderId="4" xfId="0" applyNumberFormat="1" applyFont="1" applyBorder="1" applyAlignment="1">
      <alignment horizontal="center" vertical="center" readingOrder="2"/>
    </xf>
    <xf numFmtId="9" fontId="51" fillId="0" borderId="4" xfId="0" applyNumberFormat="1" applyFont="1" applyBorder="1" applyAlignment="1">
      <alignment horizontal="center" vertical="center" readingOrder="2"/>
    </xf>
    <xf numFmtId="164" fontId="51" fillId="0" borderId="4" xfId="0" applyNumberFormat="1" applyFont="1" applyBorder="1" applyAlignment="1">
      <alignment horizontal="center" vertical="center" readingOrder="2"/>
    </xf>
    <xf numFmtId="0" fontId="50" fillId="0" borderId="1" xfId="0" applyFont="1" applyBorder="1" applyAlignment="1">
      <alignment horizontal="center" vertical="center" readingOrder="2"/>
    </xf>
    <xf numFmtId="0" fontId="50" fillId="0" borderId="0" xfId="0" applyFont="1"/>
    <xf numFmtId="0" fontId="92" fillId="0" borderId="3" xfId="0" applyFont="1" applyFill="1" applyBorder="1" applyAlignment="1">
      <alignment horizontal="center" vertical="center" readingOrder="2"/>
    </xf>
    <xf numFmtId="0" fontId="50" fillId="0" borderId="3" xfId="0" applyFont="1" applyBorder="1" applyAlignment="1">
      <alignment horizontal="right" vertical="center" wrapText="1" readingOrder="2"/>
    </xf>
    <xf numFmtId="0" fontId="50" fillId="0" borderId="17" xfId="0" applyFont="1" applyBorder="1" applyAlignment="1">
      <alignment horizontal="center" vertical="center" readingOrder="2"/>
    </xf>
    <xf numFmtId="0" fontId="51" fillId="0" borderId="17" xfId="0" applyFont="1" applyBorder="1" applyAlignment="1">
      <alignment horizontal="center" vertical="center" readingOrder="2"/>
    </xf>
    <xf numFmtId="0" fontId="51" fillId="4" borderId="17" xfId="0" applyFont="1" applyFill="1" applyBorder="1" applyAlignment="1">
      <alignment horizontal="center" vertical="center" readingOrder="2"/>
    </xf>
    <xf numFmtId="2" fontId="51" fillId="0" borderId="17" xfId="0" applyNumberFormat="1" applyFont="1" applyBorder="1" applyAlignment="1">
      <alignment horizontal="center" vertical="center" readingOrder="2"/>
    </xf>
    <xf numFmtId="9" fontId="51" fillId="0" borderId="17" xfId="0" applyNumberFormat="1" applyFont="1" applyBorder="1" applyAlignment="1">
      <alignment horizontal="center" vertical="center" readingOrder="2"/>
    </xf>
    <xf numFmtId="164" fontId="51" fillId="0" borderId="17" xfId="0" applyNumberFormat="1" applyFont="1" applyBorder="1" applyAlignment="1">
      <alignment horizontal="center" vertical="center" readingOrder="2"/>
    </xf>
    <xf numFmtId="0" fontId="50" fillId="0" borderId="7" xfId="0" applyFont="1" applyBorder="1" applyAlignment="1">
      <alignment horizontal="center" vertical="center" readingOrder="2"/>
    </xf>
    <xf numFmtId="0" fontId="51" fillId="0" borderId="7" xfId="0" applyFont="1" applyBorder="1" applyAlignment="1">
      <alignment horizontal="center" vertical="center" readingOrder="2"/>
    </xf>
    <xf numFmtId="0" fontId="51" fillId="4" borderId="7" xfId="0" applyFont="1" applyFill="1" applyBorder="1" applyAlignment="1">
      <alignment horizontal="center" vertical="center" readingOrder="2"/>
    </xf>
    <xf numFmtId="165" fontId="51" fillId="0" borderId="7" xfId="0" applyNumberFormat="1" applyFont="1" applyBorder="1" applyAlignment="1">
      <alignment horizontal="center" vertical="center" readingOrder="2"/>
    </xf>
    <xf numFmtId="9" fontId="51" fillId="0" borderId="7" xfId="0" applyNumberFormat="1" applyFont="1" applyBorder="1" applyAlignment="1">
      <alignment horizontal="center" vertical="center" readingOrder="2"/>
    </xf>
    <xf numFmtId="164" fontId="51" fillId="0" borderId="7" xfId="0" applyNumberFormat="1" applyFont="1" applyBorder="1" applyAlignment="1">
      <alignment horizontal="center" vertical="center" readingOrder="2"/>
    </xf>
    <xf numFmtId="0" fontId="50" fillId="0" borderId="3" xfId="0" applyFont="1" applyBorder="1" applyAlignment="1">
      <alignment horizontal="right" vertical="center" readingOrder="2"/>
    </xf>
    <xf numFmtId="0" fontId="50" fillId="0" borderId="8" xfId="0" applyFont="1" applyBorder="1" applyAlignment="1">
      <alignment horizontal="center" vertical="center" readingOrder="2"/>
    </xf>
    <xf numFmtId="0" fontId="51" fillId="0" borderId="8" xfId="0" applyFont="1" applyBorder="1" applyAlignment="1">
      <alignment horizontal="center" vertical="center" readingOrder="2"/>
    </xf>
    <xf numFmtId="2" fontId="51" fillId="0" borderId="8" xfId="0" applyNumberFormat="1" applyFont="1" applyBorder="1" applyAlignment="1">
      <alignment horizontal="center" vertical="center" readingOrder="2"/>
    </xf>
    <xf numFmtId="164" fontId="51" fillId="0" borderId="8" xfId="0" applyNumberFormat="1" applyFont="1" applyBorder="1" applyAlignment="1">
      <alignment horizontal="center" vertical="center" readingOrder="2"/>
    </xf>
    <xf numFmtId="0" fontId="50" fillId="0" borderId="17" xfId="0" applyFont="1" applyBorder="1" applyAlignment="1">
      <alignment horizontal="center" vertical="center" wrapText="1" readingOrder="2"/>
    </xf>
    <xf numFmtId="0" fontId="92" fillId="0" borderId="9" xfId="0" applyFont="1" applyFill="1" applyBorder="1" applyAlignment="1">
      <alignment horizontal="center" vertical="center" readingOrder="2"/>
    </xf>
    <xf numFmtId="0" fontId="50" fillId="0" borderId="9" xfId="0" applyFont="1" applyBorder="1" applyAlignment="1">
      <alignment horizontal="right" vertical="center" readingOrder="2"/>
    </xf>
    <xf numFmtId="0" fontId="50" fillId="0" borderId="10" xfId="0" applyFont="1" applyBorder="1" applyAlignment="1">
      <alignment horizontal="center" vertical="center" readingOrder="2"/>
    </xf>
    <xf numFmtId="0" fontId="51" fillId="0" borderId="10" xfId="0" applyFont="1" applyBorder="1" applyAlignment="1">
      <alignment horizontal="center" vertical="center" readingOrder="2"/>
    </xf>
    <xf numFmtId="2" fontId="51" fillId="0" borderId="10" xfId="0" applyNumberFormat="1" applyFont="1" applyBorder="1" applyAlignment="1">
      <alignment horizontal="center" vertical="center" readingOrder="2"/>
    </xf>
    <xf numFmtId="164" fontId="51" fillId="0" borderId="10" xfId="0" applyNumberFormat="1" applyFont="1" applyBorder="1" applyAlignment="1">
      <alignment horizontal="center" vertical="center" readingOrder="2"/>
    </xf>
    <xf numFmtId="0" fontId="92" fillId="0" borderId="1" xfId="0" applyFont="1" applyFill="1" applyBorder="1" applyAlignment="1">
      <alignment horizontal="center" vertical="center" readingOrder="2"/>
    </xf>
    <xf numFmtId="164" fontId="51" fillId="5" borderId="1" xfId="0" applyNumberFormat="1" applyFont="1" applyFill="1" applyBorder="1" applyAlignment="1">
      <alignment horizontal="center" vertical="center" readingOrder="2"/>
    </xf>
    <xf numFmtId="1" fontId="50" fillId="0" borderId="1" xfId="0" applyNumberFormat="1" applyFont="1" applyBorder="1" applyAlignment="1">
      <alignment horizontal="center" vertical="center" readingOrder="2"/>
    </xf>
    <xf numFmtId="9" fontId="50" fillId="0" borderId="1" xfId="1" applyFont="1" applyBorder="1" applyAlignment="1">
      <alignment horizontal="center" vertical="center" readingOrder="2"/>
    </xf>
    <xf numFmtId="0" fontId="50" fillId="2" borderId="4" xfId="0" applyFont="1" applyFill="1" applyBorder="1" applyAlignment="1">
      <alignment horizontal="center" vertical="center" readingOrder="2"/>
    </xf>
    <xf numFmtId="0" fontId="51" fillId="2" borderId="4" xfId="0" applyFont="1" applyFill="1" applyBorder="1" applyAlignment="1">
      <alignment horizontal="center" vertical="center" readingOrder="2"/>
    </xf>
    <xf numFmtId="0" fontId="51" fillId="2" borderId="15" xfId="0" applyFont="1" applyFill="1" applyBorder="1" applyAlignment="1">
      <alignment horizontal="center" vertical="center" readingOrder="2"/>
    </xf>
    <xf numFmtId="2" fontId="51" fillId="2" borderId="4" xfId="0" applyNumberFormat="1" applyFont="1" applyFill="1" applyBorder="1" applyAlignment="1">
      <alignment horizontal="center" vertical="center" readingOrder="2"/>
    </xf>
    <xf numFmtId="9" fontId="51" fillId="2" borderId="4" xfId="0" applyNumberFormat="1" applyFont="1" applyFill="1" applyBorder="1" applyAlignment="1">
      <alignment horizontal="center" vertical="center" readingOrder="2"/>
    </xf>
    <xf numFmtId="0" fontId="50" fillId="2" borderId="17" xfId="0" applyFont="1" applyFill="1" applyBorder="1" applyAlignment="1">
      <alignment horizontal="center" vertical="center" readingOrder="2"/>
    </xf>
    <xf numFmtId="0" fontId="51" fillId="2" borderId="58" xfId="0" applyFont="1" applyFill="1" applyBorder="1" applyAlignment="1">
      <alignment horizontal="center" vertical="center" readingOrder="2"/>
    </xf>
    <xf numFmtId="0" fontId="51" fillId="2" borderId="81" xfId="0" applyFont="1" applyFill="1" applyBorder="1" applyAlignment="1">
      <alignment horizontal="center" vertical="center" readingOrder="2"/>
    </xf>
    <xf numFmtId="2" fontId="51" fillId="2" borderId="17" xfId="0" applyNumberFormat="1" applyFont="1" applyFill="1" applyBorder="1" applyAlignment="1">
      <alignment horizontal="center" vertical="center" readingOrder="2"/>
    </xf>
    <xf numFmtId="9" fontId="51" fillId="2" borderId="17" xfId="0" applyNumberFormat="1" applyFont="1" applyFill="1" applyBorder="1" applyAlignment="1">
      <alignment horizontal="center" vertical="center" readingOrder="2"/>
    </xf>
    <xf numFmtId="0" fontId="95" fillId="0" borderId="3" xfId="0" applyFont="1" applyBorder="1" applyAlignment="1">
      <alignment horizontal="center" wrapText="1" readingOrder="2"/>
    </xf>
    <xf numFmtId="0" fontId="51" fillId="2" borderId="17" xfId="0" applyFont="1" applyFill="1" applyBorder="1" applyAlignment="1">
      <alignment horizontal="center" vertical="center" readingOrder="2"/>
    </xf>
    <xf numFmtId="0" fontId="51" fillId="2" borderId="44" xfId="0" applyFont="1" applyFill="1" applyBorder="1" applyAlignment="1">
      <alignment horizontal="center" vertical="center" readingOrder="2"/>
    </xf>
    <xf numFmtId="0" fontId="50" fillId="2" borderId="5" xfId="0" applyFont="1" applyFill="1" applyBorder="1" applyAlignment="1">
      <alignment horizontal="center" vertical="center" readingOrder="2"/>
    </xf>
    <xf numFmtId="2" fontId="51" fillId="2" borderId="5" xfId="0" applyNumberFormat="1" applyFont="1" applyFill="1" applyBorder="1" applyAlignment="1">
      <alignment horizontal="center" vertical="center" readingOrder="2"/>
    </xf>
    <xf numFmtId="9" fontId="51" fillId="2" borderId="5" xfId="0" applyNumberFormat="1" applyFont="1" applyFill="1" applyBorder="1" applyAlignment="1">
      <alignment horizontal="center" vertical="center" readingOrder="2"/>
    </xf>
    <xf numFmtId="165" fontId="51" fillId="2" borderId="17" xfId="0" applyNumberFormat="1" applyFont="1" applyFill="1" applyBorder="1" applyAlignment="1">
      <alignment horizontal="center" vertical="center" readingOrder="2"/>
    </xf>
    <xf numFmtId="0" fontId="50" fillId="2" borderId="20" xfId="0" applyFont="1" applyFill="1" applyBorder="1" applyAlignment="1">
      <alignment horizontal="center" vertical="center" readingOrder="2"/>
    </xf>
    <xf numFmtId="0" fontId="51" fillId="2" borderId="20" xfId="0" applyFont="1" applyFill="1" applyBorder="1" applyAlignment="1">
      <alignment horizontal="center" vertical="center" readingOrder="2"/>
    </xf>
    <xf numFmtId="165" fontId="51" fillId="2" borderId="20" xfId="0" applyNumberFormat="1" applyFont="1" applyFill="1" applyBorder="1" applyAlignment="1">
      <alignment horizontal="center" vertical="center" readingOrder="2"/>
    </xf>
    <xf numFmtId="9" fontId="51" fillId="2" borderId="20" xfId="0" applyNumberFormat="1" applyFont="1" applyFill="1" applyBorder="1" applyAlignment="1">
      <alignment horizontal="center" vertical="center" readingOrder="2"/>
    </xf>
    <xf numFmtId="164" fontId="51" fillId="0" borderId="20" xfId="0" applyNumberFormat="1" applyFont="1" applyBorder="1" applyAlignment="1">
      <alignment horizontal="center" vertical="center" readingOrder="2"/>
    </xf>
    <xf numFmtId="0" fontId="50" fillId="2" borderId="8" xfId="0" applyFont="1" applyFill="1" applyBorder="1" applyAlignment="1">
      <alignment horizontal="center" vertical="center" readingOrder="2"/>
    </xf>
    <xf numFmtId="0" fontId="51" fillId="2" borderId="8" xfId="0" applyFont="1" applyFill="1" applyBorder="1" applyAlignment="1">
      <alignment horizontal="center" vertical="center" readingOrder="2"/>
    </xf>
    <xf numFmtId="2" fontId="51" fillId="2" borderId="8" xfId="0" applyNumberFormat="1" applyFont="1" applyFill="1" applyBorder="1" applyAlignment="1">
      <alignment horizontal="center" vertical="center" readingOrder="2"/>
    </xf>
    <xf numFmtId="0" fontId="50" fillId="2" borderId="17" xfId="0" applyFont="1" applyFill="1" applyBorder="1" applyAlignment="1">
      <alignment horizontal="center" vertical="center" wrapText="1" readingOrder="2"/>
    </xf>
    <xf numFmtId="0" fontId="50" fillId="2" borderId="10" xfId="0" applyFont="1" applyFill="1" applyBorder="1" applyAlignment="1">
      <alignment horizontal="center" vertical="center" readingOrder="2"/>
    </xf>
    <xf numFmtId="0" fontId="51" fillId="2" borderId="10" xfId="0" applyFont="1" applyFill="1" applyBorder="1" applyAlignment="1">
      <alignment horizontal="center" vertical="center" readingOrder="2"/>
    </xf>
    <xf numFmtId="2" fontId="51" fillId="2" borderId="10" xfId="0" applyNumberFormat="1" applyFont="1" applyFill="1" applyBorder="1" applyAlignment="1">
      <alignment horizontal="center" vertical="center" readingOrder="2"/>
    </xf>
    <xf numFmtId="165" fontId="51" fillId="0" borderId="4" xfId="0" applyNumberFormat="1" applyFont="1" applyBorder="1" applyAlignment="1">
      <alignment horizontal="center" vertical="center" readingOrder="2"/>
    </xf>
    <xf numFmtId="165" fontId="51" fillId="0" borderId="17" xfId="0" applyNumberFormat="1" applyFont="1" applyBorder="1" applyAlignment="1">
      <alignment horizontal="center" vertical="center" readingOrder="2"/>
    </xf>
    <xf numFmtId="165" fontId="51" fillId="2" borderId="4" xfId="0" applyNumberFormat="1" applyFont="1" applyFill="1" applyBorder="1" applyAlignment="1">
      <alignment horizontal="center" vertical="center" readingOrder="2"/>
    </xf>
    <xf numFmtId="9" fontId="51" fillId="0" borderId="5" xfId="0" applyNumberFormat="1" applyFont="1" applyBorder="1" applyAlignment="1">
      <alignment horizontal="center" vertical="center" readingOrder="2"/>
    </xf>
    <xf numFmtId="164" fontId="50" fillId="0" borderId="0" xfId="0" applyNumberFormat="1" applyFont="1"/>
    <xf numFmtId="9" fontId="51" fillId="0" borderId="20" xfId="0" applyNumberFormat="1" applyFont="1" applyBorder="1" applyAlignment="1">
      <alignment horizontal="center" vertical="center" readingOrder="2"/>
    </xf>
    <xf numFmtId="0" fontId="96" fillId="0" borderId="3" xfId="0" applyFont="1" applyBorder="1" applyAlignment="1">
      <alignment horizontal="center" wrapText="1" readingOrder="2"/>
    </xf>
    <xf numFmtId="2" fontId="51" fillId="0" borderId="5" xfId="0" applyNumberFormat="1" applyFont="1" applyBorder="1" applyAlignment="1">
      <alignment horizontal="center" vertical="center" readingOrder="2"/>
    </xf>
    <xf numFmtId="165" fontId="51" fillId="0" borderId="20" xfId="0" applyNumberFormat="1" applyFont="1" applyBorder="1" applyAlignment="1">
      <alignment horizontal="center" vertical="center" readingOrder="2"/>
    </xf>
    <xf numFmtId="0" fontId="51" fillId="2" borderId="43" xfId="0" applyFont="1" applyFill="1" applyBorder="1" applyAlignment="1">
      <alignment horizontal="center" vertical="center" readingOrder="2"/>
    </xf>
    <xf numFmtId="0" fontId="50" fillId="0" borderId="0" xfId="0" applyFont="1" applyFill="1" applyBorder="1"/>
    <xf numFmtId="0" fontId="92" fillId="0" borderId="14" xfId="0" applyFont="1" applyFill="1" applyBorder="1" applyAlignment="1">
      <alignment horizontal="center" vertical="center" readingOrder="2"/>
    </xf>
    <xf numFmtId="0" fontId="50" fillId="0" borderId="14" xfId="0" applyFont="1" applyFill="1" applyBorder="1" applyAlignment="1">
      <alignment horizontal="center" vertical="center" readingOrder="2"/>
    </xf>
    <xf numFmtId="164" fontId="51" fillId="0" borderId="14" xfId="0" applyNumberFormat="1" applyFont="1" applyFill="1" applyBorder="1" applyAlignment="1">
      <alignment horizontal="center" vertical="center" readingOrder="2"/>
    </xf>
    <xf numFmtId="1" fontId="50" fillId="0" borderId="12" xfId="0" applyNumberFormat="1" applyFont="1" applyFill="1" applyBorder="1" applyAlignment="1">
      <alignment horizontal="center" vertical="center" readingOrder="2"/>
    </xf>
    <xf numFmtId="9" fontId="50" fillId="0" borderId="12" xfId="1" applyFont="1" applyFill="1" applyBorder="1" applyAlignment="1">
      <alignment horizontal="center" vertical="center" readingOrder="2"/>
    </xf>
    <xf numFmtId="0" fontId="50" fillId="7" borderId="0" xfId="0" applyFont="1" applyFill="1"/>
    <xf numFmtId="164" fontId="51" fillId="0" borderId="4" xfId="0" applyNumberFormat="1" applyFont="1" applyBorder="1" applyAlignment="1">
      <alignment horizontal="center" readingOrder="2"/>
    </xf>
    <xf numFmtId="164" fontId="51" fillId="0" borderId="17" xfId="0" applyNumberFormat="1" applyFont="1" applyBorder="1" applyAlignment="1">
      <alignment horizontal="center" readingOrder="2"/>
    </xf>
    <xf numFmtId="2" fontId="51" fillId="2" borderId="20" xfId="0" applyNumberFormat="1" applyFont="1" applyFill="1" applyBorder="1" applyAlignment="1">
      <alignment horizontal="center" vertical="center" readingOrder="2"/>
    </xf>
    <xf numFmtId="164" fontId="51" fillId="0" borderId="20" xfId="0" applyNumberFormat="1" applyFont="1" applyBorder="1" applyAlignment="1">
      <alignment horizontal="center" readingOrder="2"/>
    </xf>
    <xf numFmtId="164" fontId="51" fillId="0" borderId="8" xfId="0" applyNumberFormat="1" applyFont="1" applyBorder="1" applyAlignment="1">
      <alignment horizontal="center" readingOrder="2"/>
    </xf>
    <xf numFmtId="164" fontId="51" fillId="0" borderId="10" xfId="0" applyNumberFormat="1" applyFont="1" applyBorder="1" applyAlignment="1">
      <alignment horizontal="center" readingOrder="2"/>
    </xf>
    <xf numFmtId="0" fontId="92" fillId="0" borderId="12" xfId="0" applyFont="1" applyFill="1" applyBorder="1" applyAlignment="1">
      <alignment horizontal="center" vertical="center" readingOrder="2"/>
    </xf>
    <xf numFmtId="0" fontId="50" fillId="0" borderId="12" xfId="0" applyFont="1" applyFill="1" applyBorder="1" applyAlignment="1">
      <alignment horizontal="center" vertical="center" readingOrder="2"/>
    </xf>
    <xf numFmtId="0" fontId="50" fillId="2" borderId="4" xfId="0" applyFont="1" applyFill="1" applyBorder="1" applyAlignment="1">
      <alignment horizontal="center" vertical="center" wrapText="1" readingOrder="2"/>
    </xf>
    <xf numFmtId="0" fontId="51" fillId="2" borderId="5" xfId="0" applyFont="1" applyFill="1" applyBorder="1" applyAlignment="1">
      <alignment horizontal="center" vertical="center" readingOrder="2"/>
    </xf>
    <xf numFmtId="164" fontId="51" fillId="0" borderId="5" xfId="0" applyNumberFormat="1" applyFont="1" applyBorder="1" applyAlignment="1">
      <alignment horizontal="center" vertical="center" readingOrder="2"/>
    </xf>
    <xf numFmtId="0" fontId="50" fillId="2" borderId="6" xfId="0" applyFont="1" applyFill="1" applyBorder="1" applyAlignment="1">
      <alignment horizontal="center" vertical="center" readingOrder="2"/>
    </xf>
    <xf numFmtId="0" fontId="51" fillId="2" borderId="6" xfId="0" applyFont="1" applyFill="1" applyBorder="1" applyAlignment="1">
      <alignment horizontal="center" vertical="center" readingOrder="2"/>
    </xf>
    <xf numFmtId="2" fontId="51" fillId="2" borderId="6" xfId="0" applyNumberFormat="1" applyFont="1" applyFill="1" applyBorder="1" applyAlignment="1">
      <alignment horizontal="center" vertical="center" readingOrder="2"/>
    </xf>
    <xf numFmtId="164" fontId="51" fillId="0" borderId="6" xfId="0" applyNumberFormat="1" applyFont="1" applyBorder="1" applyAlignment="1">
      <alignment horizontal="center" vertical="center" readingOrder="2"/>
    </xf>
    <xf numFmtId="0" fontId="92" fillId="0" borderId="0" xfId="0" applyFont="1" applyFill="1"/>
    <xf numFmtId="2" fontId="50" fillId="0" borderId="0" xfId="0" applyNumberFormat="1" applyFont="1"/>
    <xf numFmtId="0" fontId="91" fillId="11" borderId="1" xfId="0" applyFont="1" applyFill="1" applyBorder="1" applyAlignment="1">
      <alignment horizontal="center" vertical="center" readingOrder="2"/>
    </xf>
    <xf numFmtId="0" fontId="51" fillId="11" borderId="1" xfId="0" applyFont="1" applyFill="1" applyBorder="1" applyAlignment="1">
      <alignment horizontal="center" vertical="center" readingOrder="2"/>
    </xf>
    <xf numFmtId="164" fontId="51" fillId="11" borderId="1" xfId="0" applyNumberFormat="1" applyFont="1" applyFill="1" applyBorder="1" applyAlignment="1">
      <alignment horizontal="center" vertical="center" readingOrder="2"/>
    </xf>
    <xf numFmtId="164" fontId="76" fillId="23" borderId="1" xfId="0" applyNumberFormat="1" applyFont="1" applyFill="1" applyBorder="1" applyAlignment="1">
      <alignment horizontal="center" vertical="center" readingOrder="2"/>
    </xf>
    <xf numFmtId="0" fontId="93" fillId="2" borderId="0" xfId="0" applyFont="1" applyFill="1" applyAlignment="1">
      <alignment horizontal="center" vertical="center" readingOrder="2"/>
    </xf>
    <xf numFmtId="2" fontId="93" fillId="3" borderId="35" xfId="0" applyNumberFormat="1" applyFont="1" applyFill="1" applyBorder="1" applyAlignment="1">
      <alignment horizontal="center" vertical="center" readingOrder="2"/>
    </xf>
    <xf numFmtId="2" fontId="93" fillId="3" borderId="22" xfId="0" applyNumberFormat="1" applyFont="1" applyFill="1" applyBorder="1" applyAlignment="1">
      <alignment horizontal="center" vertical="center" readingOrder="2"/>
    </xf>
    <xf numFmtId="0" fontId="81" fillId="0" borderId="0" xfId="0" applyFont="1"/>
    <xf numFmtId="0" fontId="50" fillId="0" borderId="46" xfId="0" applyFont="1" applyBorder="1" applyAlignment="1">
      <alignment horizontal="center" vertical="center" readingOrder="2"/>
    </xf>
    <xf numFmtId="0" fontId="51" fillId="0" borderId="47" xfId="0" applyFont="1" applyBorder="1" applyAlignment="1">
      <alignment horizontal="center" vertical="center" readingOrder="2"/>
    </xf>
    <xf numFmtId="2" fontId="51" fillId="0" borderId="47" xfId="0" applyNumberFormat="1" applyFont="1" applyBorder="1" applyAlignment="1">
      <alignment horizontal="center" vertical="center" readingOrder="2"/>
    </xf>
    <xf numFmtId="9" fontId="50" fillId="0" borderId="47" xfId="0" applyNumberFormat="1" applyFont="1" applyBorder="1" applyAlignment="1">
      <alignment horizontal="center" vertical="center" readingOrder="2"/>
    </xf>
    <xf numFmtId="2" fontId="51" fillId="0" borderId="48" xfId="0" applyNumberFormat="1" applyFont="1" applyBorder="1" applyAlignment="1">
      <alignment horizontal="center" vertical="center" readingOrder="2"/>
    </xf>
    <xf numFmtId="9" fontId="50" fillId="0" borderId="19" xfId="0" applyNumberFormat="1" applyFont="1" applyBorder="1" applyAlignment="1">
      <alignment horizontal="center" vertical="center" readingOrder="2"/>
    </xf>
    <xf numFmtId="2" fontId="51" fillId="0" borderId="50" xfId="0" applyNumberFormat="1" applyFont="1" applyBorder="1" applyAlignment="1">
      <alignment horizontal="center" vertical="center" readingOrder="2"/>
    </xf>
    <xf numFmtId="0" fontId="51" fillId="14" borderId="19" xfId="0" applyFont="1" applyFill="1" applyBorder="1" applyAlignment="1">
      <alignment horizontal="center" vertical="center" readingOrder="2"/>
    </xf>
    <xf numFmtId="0" fontId="50" fillId="3" borderId="45" xfId="0" applyFont="1" applyFill="1" applyBorder="1" applyAlignment="1">
      <alignment horizontal="center" vertical="center" readingOrder="2"/>
    </xf>
    <xf numFmtId="0" fontId="50" fillId="0" borderId="51" xfId="0" applyFont="1" applyBorder="1" applyAlignment="1">
      <alignment horizontal="center" vertical="center" readingOrder="2"/>
    </xf>
    <xf numFmtId="0" fontId="51" fillId="0" borderId="52" xfId="0" applyFont="1" applyBorder="1" applyAlignment="1">
      <alignment horizontal="center" vertical="center" readingOrder="2"/>
    </xf>
    <xf numFmtId="2" fontId="51" fillId="0" borderId="52" xfId="0" applyNumberFormat="1" applyFont="1" applyBorder="1" applyAlignment="1">
      <alignment horizontal="center" vertical="center" readingOrder="2"/>
    </xf>
    <xf numFmtId="9" fontId="50" fillId="0" borderId="52" xfId="0" applyNumberFormat="1" applyFont="1" applyBorder="1" applyAlignment="1">
      <alignment horizontal="center" vertical="center" readingOrder="2"/>
    </xf>
    <xf numFmtId="2" fontId="51" fillId="0" borderId="53" xfId="0" applyNumberFormat="1" applyFont="1" applyBorder="1" applyAlignment="1">
      <alignment horizontal="center" vertical="center" readingOrder="2"/>
    </xf>
    <xf numFmtId="2" fontId="56" fillId="23" borderId="9" xfId="1" applyNumberFormat="1" applyFont="1" applyFill="1" applyBorder="1" applyAlignment="1">
      <alignment horizontal="center" vertical="center" readingOrder="2"/>
    </xf>
    <xf numFmtId="0" fontId="51" fillId="11" borderId="21" xfId="0" applyFont="1" applyFill="1" applyBorder="1" applyAlignment="1">
      <alignment horizontal="center" vertical="center" readingOrder="2"/>
    </xf>
    <xf numFmtId="0" fontId="51" fillId="11" borderId="22" xfId="0" applyFont="1" applyFill="1" applyBorder="1" applyAlignment="1">
      <alignment horizontal="center" vertical="center" readingOrder="2"/>
    </xf>
    <xf numFmtId="9" fontId="51" fillId="11" borderId="22" xfId="0" applyNumberFormat="1" applyFont="1" applyFill="1" applyBorder="1" applyAlignment="1">
      <alignment horizontal="center" vertical="center" readingOrder="2"/>
    </xf>
    <xf numFmtId="2" fontId="51" fillId="11" borderId="23" xfId="0" applyNumberFormat="1" applyFont="1" applyFill="1" applyBorder="1" applyAlignment="1">
      <alignment horizontal="center" vertical="center" readingOrder="2"/>
    </xf>
    <xf numFmtId="0" fontId="51" fillId="2" borderId="47" xfId="0" applyFont="1" applyFill="1" applyBorder="1" applyAlignment="1">
      <alignment horizontal="center" vertical="center" readingOrder="2"/>
    </xf>
    <xf numFmtId="0" fontId="51" fillId="2" borderId="52" xfId="0" applyFont="1" applyFill="1" applyBorder="1" applyAlignment="1">
      <alignment horizontal="center" vertical="center" readingOrder="2"/>
    </xf>
    <xf numFmtId="0" fontId="51" fillId="13" borderId="4" xfId="0" applyFont="1" applyFill="1" applyBorder="1" applyAlignment="1">
      <alignment horizontal="center" vertical="center" readingOrder="2"/>
    </xf>
    <xf numFmtId="9" fontId="50" fillId="0" borderId="4" xfId="0" applyNumberFormat="1" applyFont="1" applyBorder="1" applyAlignment="1">
      <alignment horizontal="center" vertical="center" readingOrder="2"/>
    </xf>
    <xf numFmtId="0" fontId="51" fillId="13" borderId="17" xfId="0" applyFont="1" applyFill="1" applyBorder="1" applyAlignment="1">
      <alignment horizontal="center" vertical="center" readingOrder="2"/>
    </xf>
    <xf numFmtId="9" fontId="50" fillId="0" borderId="17" xfId="0" applyNumberFormat="1" applyFont="1" applyBorder="1" applyAlignment="1">
      <alignment horizontal="center" vertical="center" readingOrder="2"/>
    </xf>
    <xf numFmtId="0" fontId="50" fillId="0" borderId="20" xfId="0" applyFont="1" applyBorder="1" applyAlignment="1">
      <alignment horizontal="center" vertical="center" readingOrder="2"/>
    </xf>
    <xf numFmtId="0" fontId="51" fillId="0" borderId="20" xfId="0" applyFont="1" applyBorder="1" applyAlignment="1">
      <alignment horizontal="center" vertical="center" readingOrder="2"/>
    </xf>
    <xf numFmtId="2" fontId="51" fillId="0" borderId="20" xfId="0" applyNumberFormat="1" applyFont="1" applyBorder="1" applyAlignment="1">
      <alignment horizontal="center" vertical="center" readingOrder="2"/>
    </xf>
    <xf numFmtId="9" fontId="50" fillId="0" borderId="20" xfId="0" applyNumberFormat="1" applyFont="1" applyBorder="1" applyAlignment="1">
      <alignment horizontal="center" vertical="center" readingOrder="2"/>
    </xf>
    <xf numFmtId="0" fontId="50" fillId="3" borderId="9" xfId="0" applyFont="1" applyFill="1" applyBorder="1" applyAlignment="1">
      <alignment horizontal="center" vertical="center" readingOrder="2"/>
    </xf>
    <xf numFmtId="0" fontId="50" fillId="0" borderId="9" xfId="0" applyFont="1" applyBorder="1" applyAlignment="1">
      <alignment horizontal="center" vertical="center" readingOrder="2"/>
    </xf>
    <xf numFmtId="0" fontId="51" fillId="0" borderId="9" xfId="0" applyFont="1" applyBorder="1" applyAlignment="1">
      <alignment horizontal="center" vertical="center" readingOrder="2"/>
    </xf>
    <xf numFmtId="0" fontId="51" fillId="10" borderId="9" xfId="0" applyFont="1" applyFill="1" applyBorder="1" applyAlignment="1">
      <alignment horizontal="center" vertical="center" readingOrder="2"/>
    </xf>
    <xf numFmtId="2" fontId="51" fillId="0" borderId="9" xfId="0" applyNumberFormat="1" applyFont="1" applyBorder="1" applyAlignment="1">
      <alignment horizontal="center" vertical="center" readingOrder="2"/>
    </xf>
    <xf numFmtId="9" fontId="50" fillId="0" borderId="9" xfId="0" applyNumberFormat="1" applyFont="1" applyBorder="1" applyAlignment="1">
      <alignment horizontal="center" vertical="center" readingOrder="2"/>
    </xf>
    <xf numFmtId="9" fontId="50" fillId="0" borderId="12" xfId="0" applyNumberFormat="1" applyFont="1" applyFill="1" applyBorder="1" applyAlignment="1">
      <alignment horizontal="center" vertical="center" readingOrder="2"/>
    </xf>
    <xf numFmtId="2" fontId="50" fillId="0" borderId="12" xfId="1" applyNumberFormat="1" applyFont="1" applyFill="1" applyBorder="1" applyAlignment="1">
      <alignment horizontal="center" vertical="center" readingOrder="2"/>
    </xf>
    <xf numFmtId="0" fontId="50" fillId="0" borderId="5" xfId="0" applyFont="1" applyBorder="1" applyAlignment="1">
      <alignment horizontal="center" vertical="center" readingOrder="2"/>
    </xf>
    <xf numFmtId="0" fontId="51" fillId="0" borderId="5" xfId="0" applyFont="1" applyBorder="1" applyAlignment="1">
      <alignment horizontal="center" vertical="center" readingOrder="2"/>
    </xf>
    <xf numFmtId="9" fontId="50" fillId="0" borderId="5" xfId="0" applyNumberFormat="1" applyFont="1" applyBorder="1" applyAlignment="1">
      <alignment horizontal="center" vertical="center" readingOrder="2"/>
    </xf>
    <xf numFmtId="0" fontId="50" fillId="3" borderId="17" xfId="0" applyFont="1" applyFill="1" applyBorder="1" applyAlignment="1">
      <alignment horizontal="center" vertical="center" readingOrder="2"/>
    </xf>
    <xf numFmtId="0" fontId="51" fillId="14" borderId="17" xfId="0" applyFont="1" applyFill="1" applyBorder="1" applyAlignment="1">
      <alignment horizontal="center" vertical="center" readingOrder="2"/>
    </xf>
    <xf numFmtId="0" fontId="50" fillId="3" borderId="5" xfId="0" applyFont="1" applyFill="1" applyBorder="1" applyAlignment="1">
      <alignment horizontal="center" vertical="center" readingOrder="2"/>
    </xf>
    <xf numFmtId="0" fontId="51" fillId="14" borderId="5" xfId="0" applyFont="1" applyFill="1" applyBorder="1" applyAlignment="1">
      <alignment horizontal="center" vertical="center" readingOrder="2"/>
    </xf>
    <xf numFmtId="0" fontId="50" fillId="3" borderId="85" xfId="0" applyFont="1" applyFill="1" applyBorder="1" applyAlignment="1">
      <alignment horizontal="center" vertical="center" readingOrder="2"/>
    </xf>
    <xf numFmtId="0" fontId="50" fillId="0" borderId="85" xfId="0" applyFont="1" applyBorder="1" applyAlignment="1">
      <alignment horizontal="center" vertical="center" readingOrder="2"/>
    </xf>
    <xf numFmtId="0" fontId="51" fillId="0" borderId="85" xfId="0" applyFont="1" applyBorder="1" applyAlignment="1">
      <alignment horizontal="center" vertical="center" readingOrder="2"/>
    </xf>
    <xf numFmtId="0" fontId="51" fillId="10" borderId="85" xfId="0" applyFont="1" applyFill="1" applyBorder="1" applyAlignment="1">
      <alignment horizontal="center" vertical="center" readingOrder="2"/>
    </xf>
    <xf numFmtId="2" fontId="51" fillId="0" borderId="85" xfId="0" applyNumberFormat="1" applyFont="1" applyBorder="1" applyAlignment="1">
      <alignment horizontal="center" vertical="center" readingOrder="2"/>
    </xf>
    <xf numFmtId="9" fontId="50" fillId="0" borderId="85" xfId="0" applyNumberFormat="1" applyFont="1" applyBorder="1" applyAlignment="1">
      <alignment horizontal="center" vertical="center" readingOrder="2"/>
    </xf>
    <xf numFmtId="0" fontId="50" fillId="0" borderId="0" xfId="0" applyFont="1" applyFill="1" applyBorder="1" applyAlignment="1">
      <alignment horizontal="center" vertical="center" readingOrder="2"/>
    </xf>
    <xf numFmtId="9" fontId="50" fillId="0" borderId="0" xfId="0" applyNumberFormat="1" applyFont="1" applyFill="1" applyBorder="1" applyAlignment="1">
      <alignment horizontal="center" vertical="center" readingOrder="2"/>
    </xf>
    <xf numFmtId="2" fontId="50" fillId="0" borderId="0" xfId="1" applyNumberFormat="1" applyFont="1" applyFill="1" applyBorder="1" applyAlignment="1">
      <alignment horizontal="center" vertical="center" readingOrder="2"/>
    </xf>
    <xf numFmtId="9" fontId="50" fillId="0" borderId="14" xfId="0" applyNumberFormat="1" applyFont="1" applyFill="1" applyBorder="1" applyAlignment="1">
      <alignment horizontal="center" vertical="center" readingOrder="2"/>
    </xf>
    <xf numFmtId="2" fontId="50" fillId="0" borderId="14" xfId="1" applyNumberFormat="1" applyFont="1" applyFill="1" applyBorder="1" applyAlignment="1">
      <alignment horizontal="center" vertical="center" readingOrder="2"/>
    </xf>
    <xf numFmtId="0" fontId="50" fillId="0" borderId="83" xfId="0" applyFont="1" applyBorder="1" applyAlignment="1">
      <alignment horizontal="center" vertical="center" readingOrder="2"/>
    </xf>
    <xf numFmtId="0" fontId="51" fillId="0" borderId="15" xfId="0" applyFont="1" applyBorder="1" applyAlignment="1">
      <alignment horizontal="center" vertical="center" readingOrder="2"/>
    </xf>
    <xf numFmtId="2" fontId="51" fillId="0" borderId="14" xfId="0" applyNumberFormat="1" applyFont="1" applyBorder="1" applyAlignment="1">
      <alignment horizontal="center" vertical="center" readingOrder="2"/>
    </xf>
    <xf numFmtId="9" fontId="50" fillId="0" borderId="15" xfId="0" applyNumberFormat="1" applyFont="1" applyBorder="1" applyAlignment="1">
      <alignment horizontal="center" vertical="center" readingOrder="2"/>
    </xf>
    <xf numFmtId="2" fontId="51" fillId="0" borderId="86" xfId="0" applyNumberFormat="1" applyFont="1" applyBorder="1" applyAlignment="1">
      <alignment horizontal="center" vertical="center" readingOrder="2"/>
    </xf>
    <xf numFmtId="0" fontId="51" fillId="0" borderId="81" xfId="0" applyFont="1" applyBorder="1" applyAlignment="1">
      <alignment horizontal="center" vertical="center" readingOrder="2"/>
    </xf>
    <xf numFmtId="0" fontId="51" fillId="13" borderId="81" xfId="0" applyFont="1" applyFill="1" applyBorder="1" applyAlignment="1">
      <alignment horizontal="center" vertical="center" readingOrder="2"/>
    </xf>
    <xf numFmtId="164" fontId="51" fillId="0" borderId="39" xfId="0" applyNumberFormat="1" applyFont="1" applyBorder="1" applyAlignment="1">
      <alignment horizontal="center" vertical="center" readingOrder="2"/>
    </xf>
    <xf numFmtId="9" fontId="50" fillId="0" borderId="81" xfId="0" applyNumberFormat="1" applyFont="1" applyBorder="1" applyAlignment="1">
      <alignment horizontal="center" vertical="center" readingOrder="2"/>
    </xf>
    <xf numFmtId="2" fontId="51" fillId="0" borderId="40" xfId="0" applyNumberFormat="1" applyFont="1" applyBorder="1" applyAlignment="1">
      <alignment horizontal="center" vertical="center" readingOrder="2"/>
    </xf>
    <xf numFmtId="0" fontId="50" fillId="0" borderId="87" xfId="0" applyFont="1" applyBorder="1" applyAlignment="1">
      <alignment horizontal="center" vertical="center" readingOrder="2"/>
    </xf>
    <xf numFmtId="2" fontId="51" fillId="13" borderId="8" xfId="0" applyNumberFormat="1" applyFont="1" applyFill="1" applyBorder="1" applyAlignment="1">
      <alignment horizontal="center" vertical="center" readingOrder="2"/>
    </xf>
    <xf numFmtId="2" fontId="51" fillId="0" borderId="94" xfId="0" applyNumberFormat="1" applyFont="1" applyBorder="1" applyAlignment="1">
      <alignment horizontal="center" vertical="center" readingOrder="2"/>
    </xf>
    <xf numFmtId="9" fontId="50" fillId="0" borderId="8" xfId="0" applyNumberFormat="1" applyFont="1" applyBorder="1" applyAlignment="1">
      <alignment horizontal="center" vertical="center" readingOrder="2"/>
    </xf>
    <xf numFmtId="2" fontId="51" fillId="0" borderId="90" xfId="0" applyNumberFormat="1" applyFont="1" applyBorder="1" applyAlignment="1">
      <alignment horizontal="center" vertical="center" readingOrder="2"/>
    </xf>
    <xf numFmtId="0" fontId="50" fillId="0" borderId="58" xfId="0" applyFont="1" applyBorder="1" applyAlignment="1">
      <alignment horizontal="center" vertical="center" readingOrder="2"/>
    </xf>
    <xf numFmtId="2" fontId="51" fillId="13" borderId="17" xfId="0" applyNumberFormat="1" applyFont="1" applyFill="1" applyBorder="1" applyAlignment="1">
      <alignment horizontal="center" vertical="center" readingOrder="2"/>
    </xf>
    <xf numFmtId="2" fontId="51" fillId="0" borderId="95" xfId="0" applyNumberFormat="1" applyFont="1" applyBorder="1" applyAlignment="1">
      <alignment horizontal="center" vertical="center" readingOrder="2"/>
    </xf>
    <xf numFmtId="2" fontId="51" fillId="0" borderId="91" xfId="0" applyNumberFormat="1" applyFont="1" applyBorder="1" applyAlignment="1">
      <alignment horizontal="center" vertical="center" readingOrder="2"/>
    </xf>
    <xf numFmtId="0" fontId="50" fillId="0" borderId="88" xfId="0" applyFont="1" applyBorder="1" applyAlignment="1">
      <alignment horizontal="center" vertical="center" readingOrder="2"/>
    </xf>
    <xf numFmtId="0" fontId="51" fillId="13" borderId="20" xfId="0" applyFont="1" applyFill="1" applyBorder="1" applyAlignment="1">
      <alignment horizontal="center" vertical="center" readingOrder="2"/>
    </xf>
    <xf numFmtId="2" fontId="51" fillId="0" borderId="96" xfId="0" applyNumberFormat="1" applyFont="1" applyBorder="1" applyAlignment="1">
      <alignment horizontal="center" vertical="center" readingOrder="2"/>
    </xf>
    <xf numFmtId="2" fontId="51" fillId="0" borderId="92" xfId="0" applyNumberFormat="1" applyFont="1" applyBorder="1" applyAlignment="1">
      <alignment horizontal="center" vertical="center" readingOrder="2"/>
    </xf>
    <xf numFmtId="0" fontId="50" fillId="0" borderId="89" xfId="0" applyFont="1" applyBorder="1" applyAlignment="1">
      <alignment horizontal="center" vertical="center" readingOrder="2"/>
    </xf>
    <xf numFmtId="0" fontId="51" fillId="0" borderId="82" xfId="0" applyFont="1" applyBorder="1" applyAlignment="1">
      <alignment horizontal="center" vertical="center" readingOrder="2"/>
    </xf>
    <xf numFmtId="0" fontId="51" fillId="13" borderId="82" xfId="0" applyFont="1" applyFill="1" applyBorder="1" applyAlignment="1">
      <alignment horizontal="center" vertical="center" readingOrder="2"/>
    </xf>
    <xf numFmtId="0" fontId="51" fillId="0" borderId="27" xfId="0" applyFont="1" applyBorder="1" applyAlignment="1">
      <alignment horizontal="center" vertical="center" readingOrder="2"/>
    </xf>
    <xf numFmtId="9" fontId="51" fillId="0" borderId="82" xfId="0" applyNumberFormat="1" applyFont="1" applyBorder="1" applyAlignment="1">
      <alignment horizontal="center" vertical="center" readingOrder="2"/>
    </xf>
    <xf numFmtId="164" fontId="51" fillId="0" borderId="93" xfId="0" applyNumberFormat="1" applyFont="1" applyBorder="1" applyAlignment="1">
      <alignment horizontal="center" vertical="center" readingOrder="2"/>
    </xf>
    <xf numFmtId="0" fontId="50" fillId="3" borderId="89" xfId="0" applyFont="1" applyFill="1" applyBorder="1" applyAlignment="1">
      <alignment horizontal="center" vertical="center" readingOrder="2"/>
    </xf>
    <xf numFmtId="0" fontId="50" fillId="0" borderId="45" xfId="0" applyFont="1" applyBorder="1" applyAlignment="1">
      <alignment horizontal="center" vertical="center" readingOrder="2"/>
    </xf>
    <xf numFmtId="2" fontId="51" fillId="0" borderId="2" xfId="0" applyNumberFormat="1" applyFont="1" applyBorder="1" applyAlignment="1">
      <alignment horizontal="center" vertical="center" readingOrder="2"/>
    </xf>
    <xf numFmtId="2" fontId="51" fillId="0" borderId="16" xfId="0" applyNumberFormat="1" applyFont="1" applyBorder="1" applyAlignment="1">
      <alignment horizontal="center" vertical="center" readingOrder="2"/>
    </xf>
    <xf numFmtId="9" fontId="50" fillId="0" borderId="0" xfId="0" applyNumberFormat="1" applyFont="1" applyAlignment="1">
      <alignment horizontal="center" vertical="center" readingOrder="2"/>
    </xf>
    <xf numFmtId="2" fontId="51" fillId="0" borderId="43" xfId="0" applyNumberFormat="1" applyFont="1" applyBorder="1" applyAlignment="1">
      <alignment horizontal="center" vertical="center" readingOrder="2"/>
    </xf>
    <xf numFmtId="2" fontId="51" fillId="14" borderId="20" xfId="0" applyNumberFormat="1" applyFont="1" applyFill="1" applyBorder="1" applyAlignment="1">
      <alignment horizontal="center" vertical="center" readingOrder="2"/>
    </xf>
    <xf numFmtId="0" fontId="50" fillId="0" borderId="15" xfId="0" applyFont="1" applyBorder="1" applyAlignment="1">
      <alignment horizontal="center" vertical="center" wrapText="1" readingOrder="2"/>
    </xf>
    <xf numFmtId="0" fontId="51" fillId="13" borderId="15" xfId="0" applyFont="1" applyFill="1" applyBorder="1" applyAlignment="1">
      <alignment horizontal="center" vertical="center" readingOrder="2"/>
    </xf>
    <xf numFmtId="2" fontId="51" fillId="0" borderId="15" xfId="0" applyNumberFormat="1" applyFont="1" applyBorder="1" applyAlignment="1">
      <alignment horizontal="center" vertical="center" readingOrder="2"/>
    </xf>
    <xf numFmtId="0" fontId="50" fillId="0" borderId="5" xfId="0" applyFont="1" applyBorder="1" applyAlignment="1">
      <alignment horizontal="center" vertical="center" wrapText="1" readingOrder="2"/>
    </xf>
    <xf numFmtId="0" fontId="51" fillId="13" borderId="5" xfId="0" applyFont="1" applyFill="1" applyBorder="1" applyAlignment="1">
      <alignment horizontal="center" vertical="center" readingOrder="2"/>
    </xf>
    <xf numFmtId="0" fontId="51" fillId="14" borderId="20" xfId="0" applyFont="1" applyFill="1" applyBorder="1" applyAlignment="1">
      <alignment horizontal="center" vertical="center" readingOrder="2"/>
    </xf>
    <xf numFmtId="2" fontId="51" fillId="13" borderId="5" xfId="0" applyNumberFormat="1" applyFont="1" applyFill="1" applyBorder="1" applyAlignment="1">
      <alignment horizontal="center" vertical="center" readingOrder="2"/>
    </xf>
    <xf numFmtId="0" fontId="50" fillId="2" borderId="0" xfId="0" applyFont="1" applyFill="1" applyBorder="1" applyAlignment="1">
      <alignment horizontal="center" vertical="center" readingOrder="2"/>
    </xf>
    <xf numFmtId="0" fontId="92" fillId="2" borderId="14" xfId="0" applyFont="1" applyFill="1" applyBorder="1" applyAlignment="1">
      <alignment horizontal="center" vertical="center" readingOrder="2"/>
    </xf>
    <xf numFmtId="0" fontId="50" fillId="2" borderId="14" xfId="0" applyFont="1" applyFill="1" applyBorder="1" applyAlignment="1">
      <alignment horizontal="center" vertical="center" readingOrder="2"/>
    </xf>
    <xf numFmtId="9" fontId="50" fillId="2" borderId="14" xfId="0" applyNumberFormat="1" applyFont="1" applyFill="1" applyBorder="1" applyAlignment="1">
      <alignment horizontal="center" vertical="center" readingOrder="2"/>
    </xf>
    <xf numFmtId="2" fontId="50" fillId="2" borderId="12" xfId="1" applyNumberFormat="1" applyFont="1" applyFill="1" applyBorder="1" applyAlignment="1">
      <alignment horizontal="center" vertical="center" readingOrder="2"/>
    </xf>
    <xf numFmtId="0" fontId="50" fillId="0" borderId="12" xfId="0" applyFont="1" applyFill="1" applyBorder="1" applyAlignment="1">
      <alignment horizontal="center" vertical="center" wrapText="1" readingOrder="2"/>
    </xf>
    <xf numFmtId="0" fontId="50" fillId="0" borderId="0" xfId="0" applyFont="1" applyFill="1" applyBorder="1" applyAlignment="1">
      <alignment horizontal="center" vertical="center" wrapText="1" readingOrder="2"/>
    </xf>
    <xf numFmtId="0" fontId="50" fillId="0" borderId="14" xfId="0" applyFont="1" applyFill="1" applyBorder="1" applyAlignment="1">
      <alignment horizontal="center" vertical="center" wrapText="1" readingOrder="2"/>
    </xf>
    <xf numFmtId="0" fontId="50" fillId="0" borderId="0" xfId="0" applyFont="1" applyAlignment="1">
      <alignment horizontal="center" vertical="center" wrapText="1" readingOrder="2"/>
    </xf>
    <xf numFmtId="0" fontId="50" fillId="2" borderId="14" xfId="0" applyFont="1" applyFill="1" applyBorder="1" applyAlignment="1">
      <alignment horizontal="center" vertical="center" wrapText="1" readingOrder="2"/>
    </xf>
    <xf numFmtId="0" fontId="4" fillId="0" borderId="0" xfId="0" applyFont="1" applyAlignment="1">
      <alignment horizontal="center" vertical="center" wrapText="1" readingOrder="2"/>
    </xf>
    <xf numFmtId="0" fontId="51" fillId="11" borderId="22" xfId="0" applyFont="1" applyFill="1" applyBorder="1" applyAlignment="1">
      <alignment horizontal="center" vertical="center" wrapText="1" readingOrder="2"/>
    </xf>
    <xf numFmtId="2" fontId="56" fillId="23" borderId="1" xfId="1" applyNumberFormat="1" applyFont="1" applyFill="1" applyBorder="1" applyAlignment="1">
      <alignment horizontal="center" vertical="center" readingOrder="2"/>
    </xf>
    <xf numFmtId="0" fontId="97" fillId="0" borderId="3" xfId="0" applyFont="1" applyBorder="1" applyAlignment="1">
      <alignment horizontal="center" vertical="center" wrapText="1" readingOrder="2"/>
    </xf>
    <xf numFmtId="0" fontId="51" fillId="2" borderId="19" xfId="0" applyFont="1" applyFill="1" applyBorder="1" applyAlignment="1">
      <alignment horizontal="right" vertical="center" readingOrder="2"/>
    </xf>
    <xf numFmtId="0" fontId="36" fillId="22" borderId="19" xfId="0" applyFont="1" applyFill="1" applyBorder="1" applyAlignment="1">
      <alignment horizontal="center" vertical="center" wrapText="1" readingOrder="2"/>
    </xf>
    <xf numFmtId="0" fontId="36" fillId="26" borderId="19" xfId="0" applyFont="1" applyFill="1" applyBorder="1" applyAlignment="1">
      <alignment horizontal="center" vertical="center" wrapText="1" readingOrder="2"/>
    </xf>
    <xf numFmtId="0" fontId="36" fillId="2" borderId="19" xfId="0" applyFont="1" applyFill="1" applyBorder="1" applyAlignment="1">
      <alignment horizontal="center" vertical="center" wrapText="1" readingOrder="2"/>
    </xf>
    <xf numFmtId="0" fontId="100" fillId="2" borderId="19" xfId="0" applyFont="1" applyFill="1" applyBorder="1" applyAlignment="1">
      <alignment horizontal="center" vertical="center" wrapText="1" readingOrder="2"/>
    </xf>
    <xf numFmtId="0" fontId="100" fillId="2" borderId="19" xfId="0" applyFont="1" applyFill="1" applyBorder="1" applyAlignment="1">
      <alignment horizontal="center" vertical="center" readingOrder="2"/>
    </xf>
    <xf numFmtId="0" fontId="102" fillId="2" borderId="19" xfId="0" applyFont="1" applyFill="1" applyBorder="1" applyAlignment="1">
      <alignment horizontal="center" vertical="center" wrapText="1" readingOrder="2"/>
    </xf>
    <xf numFmtId="0" fontId="102" fillId="2" borderId="19" xfId="0" applyFont="1" applyFill="1" applyBorder="1" applyAlignment="1">
      <alignment horizontal="center" vertical="center" readingOrder="2"/>
    </xf>
    <xf numFmtId="0" fontId="104" fillId="2" borderId="0" xfId="0" applyFont="1" applyFill="1" applyBorder="1" applyAlignment="1">
      <alignment horizontal="center" vertical="center" wrapText="1"/>
    </xf>
    <xf numFmtId="0" fontId="33" fillId="0" borderId="0" xfId="0" applyFont="1" applyFill="1"/>
    <xf numFmtId="0" fontId="107" fillId="0" borderId="0" xfId="0" applyFont="1" applyFill="1" applyBorder="1" applyAlignment="1">
      <alignment horizontal="center" vertical="center" wrapText="1"/>
    </xf>
    <xf numFmtId="0" fontId="33" fillId="0" borderId="0" xfId="0" applyFont="1" applyFill="1" applyAlignment="1">
      <alignment horizontal="center" vertical="center"/>
    </xf>
    <xf numFmtId="0" fontId="36" fillId="11" borderId="19" xfId="0" applyFont="1" applyFill="1" applyBorder="1" applyAlignment="1">
      <alignment horizontal="center" vertical="center" wrapText="1" readingOrder="2"/>
    </xf>
    <xf numFmtId="0" fontId="36" fillId="0" borderId="29" xfId="0" applyFont="1" applyFill="1" applyBorder="1" applyAlignment="1">
      <alignment horizontal="right" vertical="center" readingOrder="2"/>
    </xf>
    <xf numFmtId="0" fontId="36" fillId="2" borderId="19" xfId="0" applyFont="1" applyFill="1" applyBorder="1" applyAlignment="1">
      <alignment horizontal="center" vertical="center" readingOrder="2"/>
    </xf>
    <xf numFmtId="0" fontId="5" fillId="2" borderId="19" xfId="0" applyFont="1" applyFill="1" applyBorder="1" applyAlignment="1">
      <alignment horizontal="right" vertical="center" readingOrder="2"/>
    </xf>
    <xf numFmtId="0" fontId="36" fillId="0" borderId="62" xfId="0" applyFont="1" applyFill="1" applyBorder="1" applyAlignment="1">
      <alignment horizontal="center" vertical="center" readingOrder="2"/>
    </xf>
    <xf numFmtId="0" fontId="36" fillId="16" borderId="19" xfId="0" applyFont="1" applyFill="1" applyBorder="1" applyAlignment="1">
      <alignment horizontal="center" vertical="center" readingOrder="2"/>
    </xf>
    <xf numFmtId="0" fontId="36" fillId="16" borderId="19" xfId="0" applyFont="1" applyFill="1" applyBorder="1" applyAlignment="1">
      <alignment horizontal="center" vertical="center" wrapText="1" readingOrder="2"/>
    </xf>
    <xf numFmtId="0" fontId="36" fillId="0" borderId="105" xfId="0" applyFont="1" applyFill="1" applyBorder="1" applyAlignment="1">
      <alignment horizontal="center" vertical="center" readingOrder="2"/>
    </xf>
    <xf numFmtId="0" fontId="100" fillId="22" borderId="19" xfId="0" applyFont="1" applyFill="1" applyBorder="1" applyAlignment="1">
      <alignment vertical="center" wrapText="1" readingOrder="2"/>
    </xf>
    <xf numFmtId="0" fontId="36" fillId="13" borderId="19" xfId="0" applyFont="1" applyFill="1" applyBorder="1" applyAlignment="1">
      <alignment horizontal="center" vertical="center" readingOrder="2"/>
    </xf>
    <xf numFmtId="0" fontId="36" fillId="0" borderId="19" xfId="0" applyFont="1" applyBorder="1" applyAlignment="1">
      <alignment horizontal="center" vertical="center" wrapText="1" readingOrder="2"/>
    </xf>
    <xf numFmtId="0" fontId="36" fillId="27" borderId="19" xfId="0" applyFont="1" applyFill="1" applyBorder="1" applyAlignment="1">
      <alignment horizontal="center" vertical="center" readingOrder="2"/>
    </xf>
    <xf numFmtId="0" fontId="36" fillId="0" borderId="62" xfId="0" applyFont="1" applyBorder="1" applyAlignment="1">
      <alignment horizontal="center" vertical="center" readingOrder="2"/>
    </xf>
    <xf numFmtId="0" fontId="36" fillId="26" borderId="19" xfId="0" applyFont="1" applyFill="1" applyBorder="1" applyAlignment="1">
      <alignment horizontal="center" vertical="center" readingOrder="2"/>
    </xf>
    <xf numFmtId="0" fontId="36" fillId="26" borderId="0" xfId="0" applyFont="1" applyFill="1" applyBorder="1" applyAlignment="1">
      <alignment horizontal="center" vertical="center" wrapText="1" readingOrder="2"/>
    </xf>
    <xf numFmtId="0" fontId="36" fillId="26" borderId="0" xfId="0" applyFont="1" applyFill="1" applyBorder="1" applyAlignment="1">
      <alignment horizontal="center" vertical="center" readingOrder="2"/>
    </xf>
    <xf numFmtId="0" fontId="36" fillId="25" borderId="19" xfId="0" applyFont="1" applyFill="1" applyBorder="1" applyAlignment="1">
      <alignment horizontal="center" vertical="center" readingOrder="2"/>
    </xf>
    <xf numFmtId="0" fontId="100" fillId="22" borderId="41" xfId="0" applyFont="1" applyFill="1" applyBorder="1" applyAlignment="1">
      <alignment horizontal="center" vertical="center" wrapText="1" readingOrder="2"/>
    </xf>
    <xf numFmtId="0" fontId="100" fillId="22" borderId="40" xfId="0" applyFont="1" applyFill="1" applyBorder="1" applyAlignment="1">
      <alignment horizontal="center" vertical="center" wrapText="1" readingOrder="2"/>
    </xf>
    <xf numFmtId="0" fontId="36" fillId="25" borderId="19" xfId="0" applyFont="1" applyFill="1" applyBorder="1" applyAlignment="1">
      <alignment horizontal="center" vertical="center" wrapText="1" readingOrder="2"/>
    </xf>
    <xf numFmtId="0" fontId="36" fillId="0" borderId="50" xfId="0" applyFont="1" applyBorder="1" applyAlignment="1">
      <alignment horizontal="center" vertical="center" readingOrder="2"/>
    </xf>
    <xf numFmtId="0" fontId="36" fillId="21" borderId="19" xfId="0" applyFont="1" applyFill="1" applyBorder="1" applyAlignment="1">
      <alignment horizontal="center" vertical="center" readingOrder="2"/>
    </xf>
    <xf numFmtId="0" fontId="36" fillId="28" borderId="19" xfId="0" applyFont="1" applyFill="1" applyBorder="1" applyAlignment="1">
      <alignment horizontal="center" vertical="center" readingOrder="2"/>
    </xf>
    <xf numFmtId="0" fontId="36" fillId="20" borderId="19" xfId="0" applyFont="1" applyFill="1" applyBorder="1" applyAlignment="1">
      <alignment horizontal="center" vertical="center" readingOrder="2"/>
    </xf>
    <xf numFmtId="0" fontId="36" fillId="0" borderId="49" xfId="0" applyFont="1" applyBorder="1" applyAlignment="1">
      <alignment horizontal="center" vertical="center" readingOrder="2"/>
    </xf>
    <xf numFmtId="0" fontId="36" fillId="2" borderId="0" xfId="0" applyFont="1" applyFill="1" applyBorder="1" applyAlignment="1">
      <alignment horizontal="center" vertical="center" wrapText="1" readingOrder="2"/>
    </xf>
    <xf numFmtId="0" fontId="36" fillId="8" borderId="19" xfId="0" applyFont="1" applyFill="1" applyBorder="1" applyAlignment="1">
      <alignment horizontal="center" vertical="center" readingOrder="2"/>
    </xf>
    <xf numFmtId="0" fontId="101" fillId="0" borderId="62" xfId="0" applyFont="1" applyFill="1" applyBorder="1" applyAlignment="1">
      <alignment horizontal="center" vertical="center" readingOrder="2"/>
    </xf>
    <xf numFmtId="0" fontId="36" fillId="8" borderId="19" xfId="0" applyFont="1" applyFill="1" applyBorder="1" applyAlignment="1">
      <alignment horizontal="center" vertical="center" wrapText="1" readingOrder="2"/>
    </xf>
    <xf numFmtId="0" fontId="36" fillId="0" borderId="93" xfId="0" applyFont="1" applyBorder="1" applyAlignment="1">
      <alignment horizontal="center" vertical="center" readingOrder="2"/>
    </xf>
    <xf numFmtId="0" fontId="100" fillId="2" borderId="62" xfId="0" applyFont="1" applyFill="1" applyBorder="1" applyAlignment="1">
      <alignment horizontal="center" vertical="center" readingOrder="2"/>
    </xf>
    <xf numFmtId="0" fontId="109" fillId="2" borderId="0" xfId="0" applyFont="1" applyFill="1"/>
    <xf numFmtId="0" fontId="109" fillId="2" borderId="0" xfId="0" applyFont="1" applyFill="1" applyAlignment="1">
      <alignment horizontal="center" vertical="center"/>
    </xf>
    <xf numFmtId="0" fontId="109" fillId="2" borderId="0" xfId="0" applyFont="1" applyFill="1" applyAlignment="1">
      <alignment wrapText="1"/>
    </xf>
    <xf numFmtId="0" fontId="72" fillId="20" borderId="19" xfId="0" applyFont="1" applyFill="1" applyBorder="1" applyAlignment="1">
      <alignment horizontal="center" vertical="center" wrapText="1" readingOrder="2"/>
    </xf>
    <xf numFmtId="0" fontId="36" fillId="2" borderId="49" xfId="0" applyFont="1" applyFill="1" applyBorder="1" applyAlignment="1">
      <alignment horizontal="center" vertical="center" readingOrder="2"/>
    </xf>
    <xf numFmtId="0" fontId="36" fillId="23" borderId="49" xfId="0" applyFont="1" applyFill="1" applyBorder="1" applyAlignment="1">
      <alignment horizontal="center" vertical="center" readingOrder="2"/>
    </xf>
    <xf numFmtId="0" fontId="36" fillId="23" borderId="19" xfId="0" applyFont="1" applyFill="1" applyBorder="1" applyAlignment="1">
      <alignment horizontal="center" vertical="center" wrapText="1" readingOrder="2"/>
    </xf>
    <xf numFmtId="0" fontId="36" fillId="29" borderId="19" xfId="0" applyFont="1" applyFill="1" applyBorder="1" applyAlignment="1">
      <alignment horizontal="center" vertical="center" readingOrder="2"/>
    </xf>
    <xf numFmtId="0" fontId="36" fillId="23" borderId="19" xfId="0" applyFont="1" applyFill="1" applyBorder="1" applyAlignment="1">
      <alignment horizontal="center" vertical="center" readingOrder="2"/>
    </xf>
    <xf numFmtId="0" fontId="36" fillId="2" borderId="62" xfId="0" applyFont="1" applyFill="1" applyBorder="1" applyAlignment="1">
      <alignment horizontal="center" vertical="center" readingOrder="2"/>
    </xf>
    <xf numFmtId="0" fontId="33" fillId="2" borderId="0" xfId="0" applyFont="1" applyFill="1"/>
    <xf numFmtId="0" fontId="33" fillId="2" borderId="0" xfId="0" applyFont="1" applyFill="1" applyAlignment="1">
      <alignment horizontal="center" vertical="center"/>
    </xf>
    <xf numFmtId="0" fontId="33" fillId="2" borderId="0" xfId="0" applyFont="1" applyFill="1" applyAlignment="1">
      <alignment wrapText="1"/>
    </xf>
    <xf numFmtId="0" fontId="36" fillId="21" borderId="19" xfId="0" applyFont="1" applyFill="1" applyBorder="1" applyAlignment="1">
      <alignment horizontal="center" vertical="center" wrapText="1" readingOrder="2"/>
    </xf>
    <xf numFmtId="0" fontId="36" fillId="9" borderId="19" xfId="0" applyFont="1" applyFill="1" applyBorder="1" applyAlignment="1">
      <alignment horizontal="center" vertical="center" wrapText="1" readingOrder="2"/>
    </xf>
    <xf numFmtId="0" fontId="36" fillId="9" borderId="19" xfId="0" applyFont="1" applyFill="1" applyBorder="1" applyAlignment="1">
      <alignment horizontal="center" vertical="center" readingOrder="2"/>
    </xf>
    <xf numFmtId="0" fontId="98" fillId="24" borderId="30" xfId="0" applyFont="1" applyFill="1" applyBorder="1" applyAlignment="1">
      <alignment horizontal="center" vertical="center" readingOrder="2"/>
    </xf>
    <xf numFmtId="0" fontId="98" fillId="24" borderId="38" xfId="0" applyFont="1" applyFill="1" applyBorder="1" applyAlignment="1">
      <alignment horizontal="center" vertical="center" readingOrder="2"/>
    </xf>
    <xf numFmtId="0" fontId="98" fillId="24" borderId="29" xfId="0" applyFont="1" applyFill="1" applyBorder="1" applyAlignment="1">
      <alignment horizontal="center" vertical="center" readingOrder="2"/>
    </xf>
    <xf numFmtId="0" fontId="49" fillId="0" borderId="0" xfId="0" applyFont="1" applyBorder="1"/>
    <xf numFmtId="0" fontId="42" fillId="2" borderId="0" xfId="0" applyFont="1" applyFill="1" applyBorder="1" applyAlignment="1">
      <alignment horizontal="center" vertical="center" readingOrder="2"/>
    </xf>
    <xf numFmtId="0" fontId="99" fillId="2" borderId="0" xfId="0" applyFont="1" applyFill="1" applyBorder="1" applyAlignment="1">
      <alignment horizontal="center" vertical="center" readingOrder="2"/>
    </xf>
    <xf numFmtId="0" fontId="50" fillId="0" borderId="50" xfId="0" applyFont="1" applyBorder="1" applyAlignment="1">
      <alignment horizontal="center" vertical="center" readingOrder="2"/>
    </xf>
    <xf numFmtId="0" fontId="50" fillId="0" borderId="53" xfId="0" applyFont="1" applyBorder="1" applyAlignment="1">
      <alignment horizontal="center" vertical="center" readingOrder="2"/>
    </xf>
    <xf numFmtId="0" fontId="105" fillId="11" borderId="15" xfId="0" applyFont="1" applyFill="1" applyBorder="1" applyAlignment="1">
      <alignment horizontal="center" vertical="center" wrapText="1" readingOrder="2"/>
    </xf>
    <xf numFmtId="0" fontId="105" fillId="0" borderId="19" xfId="0" applyFont="1" applyBorder="1" applyAlignment="1">
      <alignment horizontal="center" vertical="center" wrapText="1" readingOrder="2"/>
    </xf>
    <xf numFmtId="0" fontId="113" fillId="11" borderId="15" xfId="0" applyFont="1" applyFill="1" applyBorder="1" applyAlignment="1">
      <alignment horizontal="center" vertical="center" wrapText="1" readingOrder="2"/>
    </xf>
    <xf numFmtId="0" fontId="106" fillId="11" borderId="15" xfId="0" applyFont="1" applyFill="1" applyBorder="1" applyAlignment="1">
      <alignment horizontal="center" vertical="center" wrapText="1" readingOrder="2"/>
    </xf>
    <xf numFmtId="0" fontId="112" fillId="0" borderId="19" xfId="0" applyFont="1" applyBorder="1" applyAlignment="1">
      <alignment horizontal="center" vertical="center" wrapText="1" readingOrder="2"/>
    </xf>
    <xf numFmtId="0" fontId="114" fillId="0" borderId="19" xfId="0" applyFont="1" applyBorder="1" applyAlignment="1">
      <alignment horizontal="center" vertical="center" wrapText="1" readingOrder="2"/>
    </xf>
    <xf numFmtId="0" fontId="103" fillId="22" borderId="19" xfId="0" applyFont="1" applyFill="1" applyBorder="1" applyAlignment="1">
      <alignment horizontal="center" vertical="center" wrapText="1" readingOrder="2"/>
    </xf>
    <xf numFmtId="0" fontId="112" fillId="11" borderId="15" xfId="0" applyFont="1" applyFill="1" applyBorder="1" applyAlignment="1">
      <alignment horizontal="center" vertical="center" wrapText="1" readingOrder="2"/>
    </xf>
    <xf numFmtId="0" fontId="5" fillId="11" borderId="19" xfId="0" applyFont="1" applyFill="1" applyBorder="1" applyAlignment="1">
      <alignment horizontal="center" vertical="center" wrapText="1" readingOrder="2"/>
    </xf>
    <xf numFmtId="0" fontId="5" fillId="2" borderId="19" xfId="0" applyFont="1" applyFill="1" applyBorder="1" applyAlignment="1">
      <alignment horizontal="center" vertical="center" wrapText="1" readingOrder="2"/>
    </xf>
    <xf numFmtId="0" fontId="49" fillId="0" borderId="0" xfId="0" applyFont="1"/>
    <xf numFmtId="0" fontId="115" fillId="0" borderId="19" xfId="0" applyFont="1" applyBorder="1" applyAlignment="1">
      <alignment horizontal="center" vertical="center"/>
    </xf>
    <xf numFmtId="0" fontId="28" fillId="0" borderId="0" xfId="0" applyFont="1" applyAlignment="1">
      <alignment horizontal="center" vertical="center"/>
    </xf>
    <xf numFmtId="0" fontId="0" fillId="0" borderId="19" xfId="0" applyBorder="1" applyAlignment="1">
      <alignment horizontal="center" vertical="center"/>
    </xf>
    <xf numFmtId="0" fontId="0" fillId="0" borderId="19" xfId="0" applyBorder="1" applyAlignment="1">
      <alignment horizontal="center" vertical="center"/>
    </xf>
    <xf numFmtId="0" fontId="18" fillId="0" borderId="19" xfId="0" applyFont="1" applyBorder="1" applyAlignment="1">
      <alignment horizontal="center" vertical="center"/>
    </xf>
    <xf numFmtId="0" fontId="4" fillId="0" borderId="19" xfId="0" applyFont="1" applyBorder="1" applyAlignment="1">
      <alignment horizontal="center" vertical="center"/>
    </xf>
    <xf numFmtId="0" fontId="18" fillId="23" borderId="19" xfId="0" applyFont="1" applyFill="1" applyBorder="1" applyAlignment="1">
      <alignment horizontal="center" vertical="center"/>
    </xf>
    <xf numFmtId="0" fontId="0" fillId="0" borderId="41" xfId="0" applyBorder="1" applyAlignment="1">
      <alignment horizontal="center" vertical="center"/>
    </xf>
    <xf numFmtId="0" fontId="0" fillId="0" borderId="40" xfId="0" applyBorder="1" applyAlignment="1">
      <alignment horizontal="center" vertical="center"/>
    </xf>
    <xf numFmtId="0" fontId="57" fillId="0" borderId="0" xfId="0" applyFont="1" applyAlignment="1">
      <alignment horizontal="center" vertical="center"/>
    </xf>
    <xf numFmtId="0" fontId="117" fillId="0" borderId="19" xfId="0" applyFont="1" applyBorder="1" applyAlignment="1">
      <alignment horizontal="center" vertical="center"/>
    </xf>
    <xf numFmtId="0" fontId="4" fillId="0" borderId="0" xfId="0" applyFont="1" applyBorder="1" applyAlignment="1">
      <alignment horizontal="center" vertical="center"/>
    </xf>
    <xf numFmtId="0" fontId="18" fillId="9" borderId="0" xfId="0" applyFont="1" applyFill="1" applyAlignment="1">
      <alignment horizontal="center" vertical="center"/>
    </xf>
    <xf numFmtId="0" fontId="0" fillId="9" borderId="19" xfId="0" applyFill="1" applyBorder="1" applyAlignment="1">
      <alignment horizontal="center" vertical="center"/>
    </xf>
    <xf numFmtId="0" fontId="116" fillId="0" borderId="0" xfId="0" applyFont="1" applyAlignment="1">
      <alignment horizontal="center" vertical="center"/>
    </xf>
    <xf numFmtId="0" fontId="0" fillId="0" borderId="0" xfId="0" applyBorder="1" applyAlignment="1">
      <alignment horizontal="center" vertical="center"/>
    </xf>
    <xf numFmtId="0" fontId="4" fillId="0" borderId="0" xfId="0" applyFont="1" applyBorder="1" applyAlignment="1">
      <alignment vertical="center"/>
    </xf>
    <xf numFmtId="9" fontId="0" fillId="0" borderId="19" xfId="0" applyNumberFormat="1" applyBorder="1" applyAlignment="1">
      <alignment horizontal="center" vertical="center"/>
    </xf>
    <xf numFmtId="9" fontId="0" fillId="0" borderId="19" xfId="1" applyFont="1" applyBorder="1" applyAlignment="1">
      <alignment horizontal="center" vertical="center"/>
    </xf>
    <xf numFmtId="0" fontId="57" fillId="0" borderId="19" xfId="0" applyFont="1" applyBorder="1" applyAlignment="1">
      <alignment horizontal="center" vertical="center"/>
    </xf>
    <xf numFmtId="0" fontId="119" fillId="0" borderId="0" xfId="0" applyFont="1" applyAlignment="1">
      <alignment horizontal="center" vertical="center"/>
    </xf>
    <xf numFmtId="0" fontId="120" fillId="0" borderId="0" xfId="0" applyFont="1" applyAlignment="1">
      <alignment horizontal="center" vertical="center"/>
    </xf>
    <xf numFmtId="0" fontId="18"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121" fillId="25" borderId="0" xfId="0" applyFont="1" applyFill="1" applyAlignment="1">
      <alignment horizontal="center" vertical="center"/>
    </xf>
    <xf numFmtId="0" fontId="47" fillId="9" borderId="0" xfId="0" applyFont="1" applyFill="1" applyAlignment="1">
      <alignment horizontal="center" vertical="center"/>
    </xf>
    <xf numFmtId="0" fontId="47" fillId="9" borderId="19" xfId="0" applyFont="1" applyFill="1" applyBorder="1" applyAlignment="1">
      <alignment horizontal="center" vertical="center"/>
    </xf>
    <xf numFmtId="0" fontId="18" fillId="9" borderId="19" xfId="0" applyFont="1" applyFill="1" applyBorder="1" applyAlignment="1">
      <alignment horizontal="center" vertical="center"/>
    </xf>
    <xf numFmtId="0" fontId="122" fillId="0" borderId="0" xfId="0" applyFont="1" applyAlignment="1">
      <alignment horizontal="center" vertical="center"/>
    </xf>
    <xf numFmtId="0" fontId="4" fillId="28" borderId="19" xfId="0" applyFont="1" applyFill="1" applyBorder="1" applyAlignment="1">
      <alignment horizontal="center" vertical="center"/>
    </xf>
    <xf numFmtId="0" fontId="0" fillId="28" borderId="19" xfId="0" applyFill="1" applyBorder="1" applyAlignment="1">
      <alignment horizontal="center" vertical="center"/>
    </xf>
    <xf numFmtId="49" fontId="0" fillId="2" borderId="40" xfId="0" applyNumberFormat="1" applyFill="1" applyBorder="1" applyAlignment="1">
      <alignment horizontal="center" vertical="center"/>
    </xf>
    <xf numFmtId="49" fontId="4" fillId="28" borderId="40" xfId="0" applyNumberFormat="1" applyFont="1" applyFill="1" applyBorder="1" applyAlignment="1">
      <alignment horizontal="center" vertical="center"/>
    </xf>
    <xf numFmtId="0" fontId="120" fillId="20" borderId="0" xfId="0" applyFont="1" applyFill="1" applyAlignment="1">
      <alignment horizontal="center" vertical="center"/>
    </xf>
    <xf numFmtId="0" fontId="117" fillId="0" borderId="0" xfId="0" applyFont="1" applyAlignment="1">
      <alignment vertical="center"/>
    </xf>
    <xf numFmtId="0" fontId="122" fillId="0" borderId="0" xfId="0" applyFont="1" applyAlignment="1">
      <alignment vertical="center"/>
    </xf>
    <xf numFmtId="0" fontId="38" fillId="30" borderId="106" xfId="4" applyFill="1" applyBorder="1"/>
    <xf numFmtId="0" fontId="38" fillId="30" borderId="107" xfId="4" applyFill="1" applyBorder="1" applyAlignment="1">
      <alignment horizontal="center"/>
    </xf>
    <xf numFmtId="0" fontId="38" fillId="30" borderId="107" xfId="4" applyFill="1" applyBorder="1"/>
    <xf numFmtId="0" fontId="38" fillId="30" borderId="108" xfId="4" applyFill="1" applyBorder="1"/>
    <xf numFmtId="0" fontId="38" fillId="30" borderId="109" xfId="4" applyFill="1" applyBorder="1" applyAlignment="1">
      <alignment horizontal="center"/>
    </xf>
    <xf numFmtId="0" fontId="38" fillId="30" borderId="109" xfId="4" applyFill="1" applyBorder="1"/>
    <xf numFmtId="0" fontId="38" fillId="0" borderId="0" xfId="4" applyAlignment="1">
      <alignment horizontal="center"/>
    </xf>
    <xf numFmtId="0" fontId="38" fillId="0" borderId="31" xfId="4" applyBorder="1" applyAlignment="1">
      <alignment horizontal="center"/>
    </xf>
    <xf numFmtId="0" fontId="126" fillId="31" borderId="110" xfId="4" applyFont="1" applyFill="1" applyBorder="1" applyAlignment="1">
      <alignment horizontal="center"/>
    </xf>
    <xf numFmtId="0" fontId="127" fillId="32" borderId="111" xfId="4" applyFont="1" applyFill="1" applyBorder="1" applyAlignment="1">
      <alignment horizontal="center"/>
    </xf>
    <xf numFmtId="0" fontId="128" fillId="33" borderId="112" xfId="4" applyFont="1" applyFill="1" applyBorder="1" applyAlignment="1">
      <alignment horizontal="center"/>
    </xf>
    <xf numFmtId="0" fontId="129" fillId="30" borderId="33" xfId="4" applyFont="1" applyFill="1" applyBorder="1" applyAlignment="1">
      <alignment horizontal="center"/>
    </xf>
    <xf numFmtId="0" fontId="38" fillId="0" borderId="36" xfId="4" applyBorder="1" applyAlignment="1">
      <alignment horizontal="center"/>
    </xf>
    <xf numFmtId="0" fontId="38" fillId="0" borderId="0" xfId="4"/>
    <xf numFmtId="0" fontId="38" fillId="0" borderId="41" xfId="4" applyBorder="1" applyAlignment="1">
      <alignment horizontal="center"/>
    </xf>
    <xf numFmtId="0" fontId="126" fillId="31" borderId="113" xfId="4" applyFont="1" applyFill="1" applyBorder="1"/>
    <xf numFmtId="0" fontId="127" fillId="32" borderId="114" xfId="4" applyFont="1" applyFill="1" applyBorder="1"/>
    <xf numFmtId="0" fontId="128" fillId="33" borderId="115" xfId="4" applyFont="1" applyFill="1" applyBorder="1"/>
    <xf numFmtId="0" fontId="129" fillId="30" borderId="40" xfId="4" applyFont="1" applyFill="1" applyBorder="1" applyAlignment="1">
      <alignment horizontal="center"/>
    </xf>
    <xf numFmtId="0" fontId="38" fillId="0" borderId="19" xfId="4" applyBorder="1" applyAlignment="1">
      <alignment horizontal="center"/>
    </xf>
    <xf numFmtId="0" fontId="38" fillId="0" borderId="19" xfId="4" applyBorder="1"/>
    <xf numFmtId="0" fontId="126" fillId="31" borderId="116" xfId="4" applyFont="1" applyFill="1" applyBorder="1"/>
    <xf numFmtId="0" fontId="127" fillId="32" borderId="117" xfId="4" applyFont="1" applyFill="1" applyBorder="1"/>
    <xf numFmtId="0" fontId="128" fillId="33" borderId="118" xfId="4" applyFont="1" applyFill="1" applyBorder="1"/>
    <xf numFmtId="0" fontId="129" fillId="30" borderId="28" xfId="4" applyFont="1" applyFill="1" applyBorder="1" applyAlignment="1">
      <alignment horizontal="center"/>
    </xf>
    <xf numFmtId="0" fontId="126" fillId="0" borderId="107" xfId="4" applyFont="1" applyFill="1" applyBorder="1"/>
    <xf numFmtId="0" fontId="129" fillId="0" borderId="107" xfId="4" applyFont="1" applyFill="1" applyBorder="1" applyAlignment="1">
      <alignment horizontal="center"/>
    </xf>
    <xf numFmtId="0" fontId="126" fillId="0" borderId="0" xfId="4" applyFont="1" applyFill="1" applyBorder="1"/>
    <xf numFmtId="0" fontId="127" fillId="0" borderId="0" xfId="4" applyFont="1" applyFill="1" applyBorder="1"/>
    <xf numFmtId="0" fontId="129" fillId="0" borderId="0" xfId="4" applyFont="1" applyFill="1" applyBorder="1" applyAlignment="1">
      <alignment horizontal="center"/>
    </xf>
    <xf numFmtId="0" fontId="126" fillId="31" borderId="110" xfId="4" applyFont="1" applyFill="1" applyBorder="1"/>
    <xf numFmtId="0" fontId="127" fillId="32" borderId="111" xfId="4" applyFont="1" applyFill="1" applyBorder="1"/>
    <xf numFmtId="0" fontId="126" fillId="33" borderId="112" xfId="4" applyFont="1" applyFill="1" applyBorder="1"/>
    <xf numFmtId="0" fontId="129" fillId="30" borderId="0" xfId="4" applyFont="1" applyFill="1" applyAlignment="1">
      <alignment horizontal="center"/>
    </xf>
    <xf numFmtId="0" fontId="126" fillId="33" borderId="115" xfId="4" applyFont="1" applyFill="1" applyBorder="1"/>
    <xf numFmtId="0" fontId="130" fillId="0" borderId="107" xfId="4" applyFont="1" applyFill="1" applyBorder="1"/>
    <xf numFmtId="0" fontId="130" fillId="0" borderId="0" xfId="4" applyFont="1" applyFill="1" applyBorder="1"/>
    <xf numFmtId="164" fontId="74" fillId="0" borderId="19" xfId="0" applyNumberFormat="1" applyFont="1" applyBorder="1" applyAlignment="1">
      <alignment horizontal="center" vertical="center" readingOrder="2"/>
    </xf>
    <xf numFmtId="0" fontId="74" fillId="0" borderId="19" xfId="0" applyFont="1" applyFill="1" applyBorder="1" applyAlignment="1">
      <alignment horizontal="center" vertical="center" readingOrder="2"/>
    </xf>
    <xf numFmtId="164" fontId="74" fillId="0" borderId="19" xfId="0" applyNumberFormat="1" applyFont="1" applyFill="1" applyBorder="1" applyAlignment="1">
      <alignment horizontal="center" vertical="center" readingOrder="2"/>
    </xf>
    <xf numFmtId="2" fontId="5" fillId="0" borderId="19" xfId="0" applyNumberFormat="1" applyFont="1" applyBorder="1" applyAlignment="1">
      <alignment horizontal="center" vertical="center" readingOrder="2"/>
    </xf>
    <xf numFmtId="0" fontId="131" fillId="21" borderId="49" xfId="0" applyFont="1" applyFill="1" applyBorder="1" applyAlignment="1">
      <alignment horizontal="center" vertical="center" readingOrder="2"/>
    </xf>
    <xf numFmtId="0" fontId="131" fillId="0" borderId="50" xfId="0" applyFont="1" applyBorder="1" applyAlignment="1">
      <alignment horizontal="center" vertical="center" readingOrder="2"/>
    </xf>
    <xf numFmtId="0" fontId="42" fillId="2" borderId="19" xfId="0" applyFont="1" applyFill="1" applyBorder="1" applyAlignment="1">
      <alignment horizontal="center" vertical="center" readingOrder="2"/>
    </xf>
    <xf numFmtId="3" fontId="42" fillId="2" borderId="19" xfId="0" applyNumberFormat="1" applyFont="1" applyFill="1" applyBorder="1" applyAlignment="1">
      <alignment horizontal="center" vertical="center" readingOrder="2"/>
    </xf>
    <xf numFmtId="0" fontId="79" fillId="0" borderId="19" xfId="0" applyFont="1" applyBorder="1" applyAlignment="1">
      <alignment horizontal="center" vertical="center"/>
    </xf>
    <xf numFmtId="0" fontId="3" fillId="2" borderId="19" xfId="0" applyFont="1" applyFill="1" applyBorder="1" applyAlignment="1">
      <alignment horizontal="center" vertical="center" readingOrder="2"/>
    </xf>
    <xf numFmtId="0" fontId="74" fillId="2" borderId="19" xfId="0" applyFont="1" applyFill="1" applyBorder="1" applyAlignment="1">
      <alignment horizontal="center" vertical="center" readingOrder="2"/>
    </xf>
    <xf numFmtId="164" fontId="74" fillId="0" borderId="19" xfId="0" applyNumberFormat="1" applyFont="1" applyBorder="1" applyAlignment="1">
      <alignment horizontal="center" vertical="center" readingOrder="2"/>
    </xf>
    <xf numFmtId="164" fontId="76" fillId="23" borderId="41" xfId="0" applyNumberFormat="1" applyFont="1" applyFill="1" applyBorder="1" applyAlignment="1">
      <alignment horizontal="center" vertical="center" readingOrder="2"/>
    </xf>
    <xf numFmtId="2" fontId="75" fillId="23" borderId="41" xfId="0" applyNumberFormat="1" applyFont="1" applyFill="1" applyBorder="1" applyAlignment="1">
      <alignment horizontal="center" vertical="center" readingOrder="2"/>
    </xf>
    <xf numFmtId="2" fontId="7" fillId="0" borderId="0" xfId="0" applyNumberFormat="1" applyFont="1" applyAlignment="1">
      <alignment horizontal="center" vertical="center" readingOrder="2"/>
    </xf>
    <xf numFmtId="0" fontId="3" fillId="2" borderId="19" xfId="0" applyFont="1" applyFill="1" applyBorder="1" applyAlignment="1">
      <alignment horizontal="right" vertical="center" readingOrder="2"/>
    </xf>
    <xf numFmtId="2" fontId="74" fillId="2" borderId="19" xfId="0" applyNumberFormat="1" applyFont="1" applyFill="1" applyBorder="1" applyAlignment="1">
      <alignment horizontal="center" vertical="center" readingOrder="2"/>
    </xf>
    <xf numFmtId="9" fontId="132" fillId="2" borderId="0" xfId="1" applyFont="1" applyFill="1" applyBorder="1" applyAlignment="1">
      <alignment horizontal="center" vertical="center" readingOrder="2"/>
    </xf>
    <xf numFmtId="0" fontId="133" fillId="0" borderId="0" xfId="0" applyFont="1" applyAlignment="1">
      <alignment horizontal="center" vertical="center" readingOrder="2"/>
    </xf>
    <xf numFmtId="0" fontId="134" fillId="0" borderId="0" xfId="0" applyFont="1" applyAlignment="1">
      <alignment horizontal="center" vertical="center" readingOrder="2"/>
    </xf>
    <xf numFmtId="0" fontId="136" fillId="11" borderId="19" xfId="0" applyFont="1" applyFill="1" applyBorder="1" applyAlignment="1">
      <alignment horizontal="center" vertical="center" readingOrder="2"/>
    </xf>
    <xf numFmtId="164" fontId="136" fillId="11" borderId="19" xfId="0" applyNumberFormat="1" applyFont="1" applyFill="1" applyBorder="1" applyAlignment="1">
      <alignment horizontal="center" vertical="center" readingOrder="2"/>
    </xf>
    <xf numFmtId="0" fontId="134" fillId="0" borderId="19" xfId="0" applyFont="1" applyFill="1" applyBorder="1" applyAlignment="1">
      <alignment horizontal="right" vertical="center" readingOrder="2"/>
    </xf>
    <xf numFmtId="0" fontId="134" fillId="0" borderId="19" xfId="0" applyFont="1" applyFill="1" applyBorder="1" applyAlignment="1">
      <alignment horizontal="center" vertical="center" readingOrder="2"/>
    </xf>
    <xf numFmtId="0" fontId="136" fillId="0" borderId="19" xfId="0" applyFont="1" applyFill="1" applyBorder="1" applyAlignment="1">
      <alignment horizontal="center" vertical="center" readingOrder="2"/>
    </xf>
    <xf numFmtId="9" fontId="136" fillId="0" borderId="19" xfId="0" applyNumberFormat="1" applyFont="1" applyFill="1" applyBorder="1" applyAlignment="1">
      <alignment horizontal="center" vertical="center" readingOrder="2"/>
    </xf>
    <xf numFmtId="2" fontId="136" fillId="0" borderId="19" xfId="0" applyNumberFormat="1" applyFont="1" applyFill="1" applyBorder="1" applyAlignment="1">
      <alignment horizontal="center" vertical="center" readingOrder="2"/>
    </xf>
    <xf numFmtId="1" fontId="136" fillId="0" borderId="19" xfId="0" applyNumberFormat="1" applyFont="1" applyFill="1" applyBorder="1" applyAlignment="1">
      <alignment horizontal="center" vertical="center" readingOrder="2"/>
    </xf>
    <xf numFmtId="165" fontId="136" fillId="0" borderId="19" xfId="0" applyNumberFormat="1" applyFont="1" applyFill="1" applyBorder="1" applyAlignment="1">
      <alignment horizontal="center" vertical="center" readingOrder="2"/>
    </xf>
    <xf numFmtId="0" fontId="134" fillId="0" borderId="19" xfId="0" applyFont="1" applyFill="1" applyBorder="1" applyAlignment="1">
      <alignment horizontal="center" vertical="center" wrapText="1" readingOrder="2"/>
    </xf>
    <xf numFmtId="0" fontId="47" fillId="0" borderId="0" xfId="0" applyFont="1" applyAlignment="1">
      <alignment horizontal="center" vertical="center" wrapText="1"/>
    </xf>
    <xf numFmtId="0" fontId="47" fillId="0" borderId="19" xfId="0" applyFont="1" applyBorder="1" applyAlignment="1">
      <alignment horizontal="center" vertical="center" wrapText="1"/>
    </xf>
    <xf numFmtId="2" fontId="88" fillId="23" borderId="19" xfId="0" applyNumberFormat="1" applyFont="1" applyFill="1" applyBorder="1" applyAlignment="1">
      <alignment horizontal="center" vertical="center" readingOrder="2"/>
    </xf>
    <xf numFmtId="0" fontId="5" fillId="11" borderId="19" xfId="0" applyFont="1" applyFill="1" applyBorder="1" applyAlignment="1">
      <alignment horizontal="center" vertical="center" wrapText="1" readingOrder="2"/>
    </xf>
    <xf numFmtId="0" fontId="31" fillId="0" borderId="19" xfId="0" applyFont="1" applyBorder="1" applyAlignment="1">
      <alignment horizontal="center" vertical="center" wrapText="1" readingOrder="2"/>
    </xf>
    <xf numFmtId="0" fontId="5" fillId="2" borderId="19" xfId="0" applyFont="1" applyFill="1" applyBorder="1" applyAlignment="1">
      <alignment horizontal="center" vertical="center" wrapText="1" readingOrder="2"/>
    </xf>
    <xf numFmtId="0" fontId="42" fillId="23" borderId="19" xfId="0" applyFont="1" applyFill="1" applyBorder="1" applyAlignment="1">
      <alignment horizontal="center" vertical="center" wrapText="1" readingOrder="2"/>
    </xf>
    <xf numFmtId="0" fontId="5" fillId="8" borderId="19" xfId="0" applyFont="1" applyFill="1" applyBorder="1" applyAlignment="1">
      <alignment horizontal="center" vertical="center" wrapText="1" readingOrder="2"/>
    </xf>
    <xf numFmtId="0" fontId="29" fillId="2" borderId="0" xfId="0" applyFont="1" applyFill="1" applyBorder="1" applyAlignment="1">
      <alignment horizontal="center" vertical="center" wrapText="1" readingOrder="2"/>
    </xf>
    <xf numFmtId="0" fontId="35" fillId="0" borderId="19" xfId="0" applyFont="1" applyBorder="1" applyAlignment="1">
      <alignment horizontal="center" vertical="center" wrapText="1" readingOrder="2"/>
    </xf>
    <xf numFmtId="0" fontId="35" fillId="0" borderId="41" xfId="0" applyFont="1" applyBorder="1" applyAlignment="1">
      <alignment horizontal="center" vertical="center" wrapText="1" readingOrder="2"/>
    </xf>
    <xf numFmtId="0" fontId="31" fillId="0" borderId="37" xfId="0" applyFont="1" applyBorder="1" applyAlignment="1">
      <alignment horizontal="center" vertical="center" wrapText="1" readingOrder="2"/>
    </xf>
    <xf numFmtId="0" fontId="31" fillId="0" borderId="38" xfId="0" applyFont="1" applyBorder="1" applyAlignment="1">
      <alignment horizontal="center" vertical="center" wrapText="1" readingOrder="2"/>
    </xf>
    <xf numFmtId="0" fontId="31" fillId="0" borderId="36" xfId="0" applyFont="1" applyBorder="1" applyAlignment="1">
      <alignment horizontal="center" vertical="center" wrapText="1" readingOrder="2"/>
    </xf>
    <xf numFmtId="0" fontId="7" fillId="0" borderId="15" xfId="0" applyFont="1" applyBorder="1" applyAlignment="1">
      <alignment horizontal="center" vertical="center" wrapText="1"/>
    </xf>
    <xf numFmtId="0" fontId="7" fillId="0" borderId="9" xfId="0" applyFont="1" applyBorder="1" applyAlignment="1">
      <alignment horizontal="center" vertical="center" wrapText="1"/>
    </xf>
    <xf numFmtId="0" fontId="31" fillId="19" borderId="19" xfId="0" applyFont="1" applyFill="1" applyBorder="1" applyAlignment="1">
      <alignment horizontal="center" vertical="center" wrapText="1" readingOrder="2"/>
    </xf>
    <xf numFmtId="0" fontId="31" fillId="19" borderId="37" xfId="0" applyFont="1" applyFill="1" applyBorder="1" applyAlignment="1">
      <alignment horizontal="center" vertical="center" wrapText="1" readingOrder="2"/>
    </xf>
    <xf numFmtId="0" fontId="31" fillId="19" borderId="38" xfId="0" applyFont="1" applyFill="1" applyBorder="1" applyAlignment="1">
      <alignment horizontal="center" vertical="center" wrapText="1" readingOrder="2"/>
    </xf>
    <xf numFmtId="0" fontId="31" fillId="19" borderId="36" xfId="0" applyFont="1" applyFill="1" applyBorder="1" applyAlignment="1">
      <alignment horizontal="center" vertical="center" wrapText="1" readingOrder="2"/>
    </xf>
    <xf numFmtId="9" fontId="5" fillId="0" borderId="19" xfId="0" applyNumberFormat="1" applyFont="1" applyBorder="1" applyAlignment="1">
      <alignment horizontal="center" vertical="center" readingOrder="2"/>
    </xf>
    <xf numFmtId="2" fontId="5" fillId="0" borderId="19" xfId="0" applyNumberFormat="1" applyFont="1" applyBorder="1" applyAlignment="1">
      <alignment horizontal="center" vertical="center" readingOrder="2"/>
    </xf>
    <xf numFmtId="0" fontId="31" fillId="0" borderId="37" xfId="0" applyFont="1" applyBorder="1" applyAlignment="1">
      <alignment horizontal="center" vertical="center" textRotation="90" readingOrder="2"/>
    </xf>
    <xf numFmtId="0" fontId="31" fillId="0" borderId="38" xfId="0" applyFont="1" applyBorder="1" applyAlignment="1">
      <alignment horizontal="center" vertical="center" textRotation="90" readingOrder="2"/>
    </xf>
    <xf numFmtId="0" fontId="31" fillId="0" borderId="36" xfId="0" applyFont="1" applyBorder="1" applyAlignment="1">
      <alignment horizontal="center" vertical="center" textRotation="90" readingOrder="2"/>
    </xf>
    <xf numFmtId="0" fontId="5" fillId="2" borderId="19" xfId="0" applyFont="1" applyFill="1" applyBorder="1" applyAlignment="1">
      <alignment horizontal="center" vertical="center" readingOrder="2"/>
    </xf>
    <xf numFmtId="0" fontId="74" fillId="23" borderId="19" xfId="0" applyFont="1" applyFill="1" applyBorder="1" applyAlignment="1">
      <alignment horizontal="center" vertical="center" readingOrder="2"/>
    </xf>
    <xf numFmtId="0" fontId="31" fillId="2" borderId="19" xfId="0" applyFont="1" applyFill="1" applyBorder="1" applyAlignment="1">
      <alignment horizontal="center" vertical="center" readingOrder="2"/>
    </xf>
    <xf numFmtId="0" fontId="5" fillId="0" borderId="19" xfId="0" applyFont="1" applyBorder="1" applyAlignment="1">
      <alignment horizontal="center" vertical="center" readingOrder="2"/>
    </xf>
    <xf numFmtId="165" fontId="5" fillId="0" borderId="19" xfId="0" applyNumberFormat="1" applyFont="1" applyBorder="1" applyAlignment="1">
      <alignment horizontal="center" vertical="center" readingOrder="2"/>
    </xf>
    <xf numFmtId="0" fontId="29" fillId="2" borderId="0" xfId="0" applyFont="1" applyFill="1" applyBorder="1" applyAlignment="1">
      <alignment horizontal="center" vertical="center" readingOrder="2"/>
    </xf>
    <xf numFmtId="0" fontId="5" fillId="11" borderId="19" xfId="0" applyFont="1" applyFill="1" applyBorder="1" applyAlignment="1">
      <alignment horizontal="center" vertical="center" readingOrder="2"/>
    </xf>
    <xf numFmtId="0" fontId="5" fillId="3" borderId="19" xfId="0" applyFont="1" applyFill="1" applyBorder="1" applyAlignment="1">
      <alignment horizontal="center" vertical="center" readingOrder="2"/>
    </xf>
    <xf numFmtId="0" fontId="5" fillId="2" borderId="0" xfId="0" applyFont="1" applyFill="1" applyBorder="1" applyAlignment="1">
      <alignment horizontal="center" vertical="center" readingOrder="2"/>
    </xf>
    <xf numFmtId="0" fontId="5" fillId="2" borderId="36" xfId="0" applyFont="1" applyFill="1" applyBorder="1" applyAlignment="1">
      <alignment horizontal="center" vertical="center" readingOrder="2"/>
    </xf>
    <xf numFmtId="0" fontId="5" fillId="8" borderId="19" xfId="0" applyFont="1" applyFill="1" applyBorder="1" applyAlignment="1">
      <alignment horizontal="center" vertical="center" readingOrder="2"/>
    </xf>
    <xf numFmtId="0" fontId="5" fillId="2" borderId="11" xfId="0" applyFont="1" applyFill="1" applyBorder="1" applyAlignment="1">
      <alignment horizontal="center" vertical="center" readingOrder="2"/>
    </xf>
    <xf numFmtId="0" fontId="5" fillId="2" borderId="12" xfId="0" applyFont="1" applyFill="1" applyBorder="1" applyAlignment="1">
      <alignment horizontal="center" vertical="center" readingOrder="2"/>
    </xf>
    <xf numFmtId="0" fontId="49" fillId="20" borderId="11" xfId="0" applyFont="1" applyFill="1" applyBorder="1" applyAlignment="1">
      <alignment horizontal="center" vertical="center"/>
    </xf>
    <xf numFmtId="0" fontId="49" fillId="20" borderId="13" xfId="0" applyFont="1" applyFill="1" applyBorder="1" applyAlignment="1">
      <alignment horizontal="center" vertical="center"/>
    </xf>
    <xf numFmtId="0" fontId="7" fillId="0" borderId="11" xfId="0" applyFont="1" applyBorder="1" applyAlignment="1">
      <alignment horizontal="center" vertical="center"/>
    </xf>
    <xf numFmtId="0" fontId="7" fillId="0" borderId="13" xfId="0" applyFont="1" applyBorder="1" applyAlignment="1">
      <alignment horizontal="center" vertical="center"/>
    </xf>
    <xf numFmtId="0" fontId="89" fillId="2" borderId="0" xfId="0" applyFont="1" applyFill="1" applyBorder="1" applyAlignment="1">
      <alignment horizontal="center" vertical="center" readingOrder="2"/>
    </xf>
    <xf numFmtId="0" fontId="42" fillId="11" borderId="19" xfId="0" applyFont="1" applyFill="1" applyBorder="1" applyAlignment="1">
      <alignment horizontal="center" vertical="center" readingOrder="2"/>
    </xf>
    <xf numFmtId="0" fontId="42" fillId="2" borderId="19" xfId="0" applyFont="1" applyFill="1" applyBorder="1" applyAlignment="1">
      <alignment horizontal="center" vertical="center" readingOrder="2"/>
    </xf>
    <xf numFmtId="0" fontId="88" fillId="23" borderId="19" xfId="0" applyFont="1" applyFill="1" applyBorder="1" applyAlignment="1">
      <alignment horizontal="center" vertical="center" readingOrder="2"/>
    </xf>
    <xf numFmtId="0" fontId="42" fillId="0" borderId="19" xfId="0" applyFont="1" applyFill="1" applyBorder="1" applyAlignment="1">
      <alignment horizontal="center" vertical="center" readingOrder="2"/>
    </xf>
    <xf numFmtId="0" fontId="78" fillId="0" borderId="19" xfId="0" applyFont="1" applyFill="1" applyBorder="1" applyAlignment="1">
      <alignment horizontal="center" vertical="center" readingOrder="2"/>
    </xf>
    <xf numFmtId="0" fontId="55" fillId="2" borderId="19" xfId="0" applyFont="1" applyFill="1" applyBorder="1" applyAlignment="1">
      <alignment horizontal="center" vertical="center" textRotation="90" readingOrder="2"/>
    </xf>
    <xf numFmtId="2" fontId="42" fillId="0" borderId="59" xfId="0" applyNumberFormat="1" applyFont="1" applyBorder="1" applyAlignment="1">
      <alignment horizontal="center" vertical="center" readingOrder="2"/>
    </xf>
    <xf numFmtId="2" fontId="42" fillId="0" borderId="60" xfId="0" applyNumberFormat="1" applyFont="1" applyBorder="1" applyAlignment="1">
      <alignment horizontal="center" vertical="center" readingOrder="2"/>
    </xf>
    <xf numFmtId="2" fontId="42" fillId="0" borderId="42" xfId="0" applyNumberFormat="1" applyFont="1" applyBorder="1" applyAlignment="1">
      <alignment horizontal="center" vertical="center" readingOrder="2"/>
    </xf>
    <xf numFmtId="0" fontId="31" fillId="7" borderId="100" xfId="0" applyFont="1" applyFill="1" applyBorder="1" applyAlignment="1">
      <alignment horizontal="center" vertical="center" textRotation="180" readingOrder="2"/>
    </xf>
    <xf numFmtId="0" fontId="31" fillId="7" borderId="101" xfId="0" applyFont="1" applyFill="1" applyBorder="1" applyAlignment="1">
      <alignment horizontal="center" vertical="center" textRotation="180" readingOrder="2"/>
    </xf>
    <xf numFmtId="0" fontId="42" fillId="3" borderId="19" xfId="0" applyFont="1" applyFill="1" applyBorder="1" applyAlignment="1">
      <alignment horizontal="center" vertical="center" readingOrder="2"/>
    </xf>
    <xf numFmtId="0" fontId="42" fillId="3" borderId="37" xfId="0" applyFont="1" applyFill="1" applyBorder="1" applyAlignment="1">
      <alignment horizontal="center" vertical="center" readingOrder="2"/>
    </xf>
    <xf numFmtId="0" fontId="42" fillId="3" borderId="36" xfId="0" applyFont="1" applyFill="1" applyBorder="1" applyAlignment="1">
      <alignment horizontal="center" vertical="center" readingOrder="2"/>
    </xf>
    <xf numFmtId="0" fontId="42" fillId="3" borderId="38" xfId="0" applyFont="1" applyFill="1" applyBorder="1" applyAlignment="1">
      <alignment horizontal="center" vertical="center" readingOrder="2"/>
    </xf>
    <xf numFmtId="0" fontId="5" fillId="8" borderId="55" xfId="0" applyFont="1" applyFill="1" applyBorder="1" applyAlignment="1">
      <alignment horizontal="center" vertical="center" readingOrder="2"/>
    </xf>
    <xf numFmtId="0" fontId="5" fillId="8" borderId="56" xfId="0" applyFont="1" applyFill="1" applyBorder="1" applyAlignment="1">
      <alignment horizontal="center" vertical="center" readingOrder="2"/>
    </xf>
    <xf numFmtId="0" fontId="5" fillId="8" borderId="54" xfId="0" applyFont="1" applyFill="1" applyBorder="1" applyAlignment="1">
      <alignment horizontal="center" vertical="center" readingOrder="2"/>
    </xf>
    <xf numFmtId="0" fontId="78" fillId="2" borderId="37" xfId="0" applyFont="1" applyFill="1" applyBorder="1" applyAlignment="1">
      <alignment horizontal="center" vertical="center" readingOrder="2"/>
    </xf>
    <xf numFmtId="0" fontId="78" fillId="2" borderId="38" xfId="0" applyFont="1" applyFill="1" applyBorder="1" applyAlignment="1">
      <alignment horizontal="center" vertical="center" readingOrder="2"/>
    </xf>
    <xf numFmtId="0" fontId="78" fillId="2" borderId="36" xfId="0" applyFont="1" applyFill="1" applyBorder="1" applyAlignment="1">
      <alignment horizontal="center" vertical="center" readingOrder="2"/>
    </xf>
    <xf numFmtId="0" fontId="42" fillId="0" borderId="37" xfId="0" applyFont="1" applyBorder="1" applyAlignment="1">
      <alignment horizontal="center" vertical="center" readingOrder="2"/>
    </xf>
    <xf numFmtId="0" fontId="42" fillId="0" borderId="38" xfId="0" applyFont="1" applyBorder="1" applyAlignment="1">
      <alignment horizontal="center" vertical="center" readingOrder="2"/>
    </xf>
    <xf numFmtId="0" fontId="42" fillId="0" borderId="36" xfId="0" applyFont="1" applyBorder="1" applyAlignment="1">
      <alignment horizontal="center" vertical="center" readingOrder="2"/>
    </xf>
    <xf numFmtId="0" fontId="42" fillId="13" borderId="37" xfId="0" applyFont="1" applyFill="1" applyBorder="1" applyAlignment="1">
      <alignment horizontal="center" vertical="center" readingOrder="2"/>
    </xf>
    <xf numFmtId="0" fontId="42" fillId="13" borderId="38" xfId="0" applyFont="1" applyFill="1" applyBorder="1" applyAlignment="1">
      <alignment horizontal="center" vertical="center" readingOrder="2"/>
    </xf>
    <xf numFmtId="0" fontId="42" fillId="13" borderId="36" xfId="0" applyFont="1" applyFill="1" applyBorder="1" applyAlignment="1">
      <alignment horizontal="center" vertical="center" readingOrder="2"/>
    </xf>
    <xf numFmtId="165" fontId="42" fillId="0" borderId="37" xfId="0" applyNumberFormat="1" applyFont="1" applyBorder="1" applyAlignment="1">
      <alignment horizontal="center" vertical="center" readingOrder="2"/>
    </xf>
    <xf numFmtId="165" fontId="42" fillId="0" borderId="38" xfId="0" applyNumberFormat="1" applyFont="1" applyBorder="1" applyAlignment="1">
      <alignment horizontal="center" vertical="center" readingOrder="2"/>
    </xf>
    <xf numFmtId="165" fontId="42" fillId="0" borderId="36" xfId="0" applyNumberFormat="1" applyFont="1" applyBorder="1" applyAlignment="1">
      <alignment horizontal="center" vertical="center" readingOrder="2"/>
    </xf>
    <xf numFmtId="9" fontId="42" fillId="0" borderId="37" xfId="0" applyNumberFormat="1" applyFont="1" applyBorder="1" applyAlignment="1">
      <alignment horizontal="center" vertical="center" readingOrder="2"/>
    </xf>
    <xf numFmtId="9" fontId="42" fillId="0" borderId="38" xfId="0" applyNumberFormat="1" applyFont="1" applyBorder="1" applyAlignment="1">
      <alignment horizontal="center" vertical="center" readingOrder="2"/>
    </xf>
    <xf numFmtId="9" fontId="42" fillId="0" borderId="36" xfId="0" applyNumberFormat="1" applyFont="1" applyBorder="1" applyAlignment="1">
      <alignment horizontal="center" vertical="center" readingOrder="2"/>
    </xf>
    <xf numFmtId="2" fontId="42" fillId="0" borderId="19" xfId="0" applyNumberFormat="1" applyFont="1" applyFill="1" applyBorder="1" applyAlignment="1">
      <alignment horizontal="center" vertical="center" readingOrder="2"/>
    </xf>
    <xf numFmtId="165" fontId="42" fillId="0" borderId="19" xfId="0" applyNumberFormat="1" applyFont="1" applyFill="1" applyBorder="1" applyAlignment="1">
      <alignment horizontal="center" vertical="center" readingOrder="2"/>
    </xf>
    <xf numFmtId="9" fontId="42" fillId="0" borderId="19" xfId="0" applyNumberFormat="1" applyFont="1" applyFill="1" applyBorder="1" applyAlignment="1">
      <alignment horizontal="center" vertical="center" readingOrder="2"/>
    </xf>
    <xf numFmtId="0" fontId="49" fillId="0" borderId="11" xfId="0" applyFont="1" applyBorder="1" applyAlignment="1">
      <alignment horizontal="center" vertical="center"/>
    </xf>
    <xf numFmtId="0" fontId="49" fillId="0" borderId="12" xfId="0" applyFont="1" applyBorder="1" applyAlignment="1">
      <alignment horizontal="center" vertical="center"/>
    </xf>
    <xf numFmtId="0" fontId="49" fillId="0" borderId="13" xfId="0" applyFont="1" applyBorder="1" applyAlignment="1">
      <alignment horizontal="center" vertical="center"/>
    </xf>
    <xf numFmtId="0" fontId="31" fillId="7" borderId="80" xfId="0" applyFont="1" applyFill="1" applyBorder="1" applyAlignment="1">
      <alignment horizontal="center" vertical="center" textRotation="180" readingOrder="2"/>
    </xf>
    <xf numFmtId="0" fontId="31" fillId="7" borderId="102" xfId="0" applyFont="1" applyFill="1" applyBorder="1" applyAlignment="1">
      <alignment horizontal="center" vertical="center" textRotation="180" readingOrder="2"/>
    </xf>
    <xf numFmtId="0" fontId="80" fillId="2" borderId="0" xfId="0" applyFont="1" applyFill="1" applyBorder="1" applyAlignment="1">
      <alignment horizontal="center" vertical="center" readingOrder="2"/>
    </xf>
    <xf numFmtId="0" fontId="29" fillId="2" borderId="0" xfId="0" applyFont="1" applyFill="1" applyAlignment="1">
      <alignment horizontal="center" vertical="center" readingOrder="2"/>
    </xf>
    <xf numFmtId="0" fontId="5" fillId="0" borderId="0" xfId="0" applyFont="1" applyBorder="1" applyAlignment="1">
      <alignment horizontal="center" vertical="center" readingOrder="2"/>
    </xf>
    <xf numFmtId="0" fontId="74" fillId="11" borderId="19" xfId="0" applyFont="1" applyFill="1" applyBorder="1" applyAlignment="1">
      <alignment horizontal="center" vertical="center" readingOrder="2"/>
    </xf>
    <xf numFmtId="0" fontId="3" fillId="0" borderId="37" xfId="0" applyFont="1" applyBorder="1" applyAlignment="1">
      <alignment horizontal="center" vertical="center" wrapText="1" readingOrder="2"/>
    </xf>
    <xf numFmtId="0" fontId="3" fillId="0" borderId="38" xfId="0" applyFont="1" applyBorder="1" applyAlignment="1">
      <alignment horizontal="center" vertical="center" wrapText="1" readingOrder="2"/>
    </xf>
    <xf numFmtId="0" fontId="3" fillId="0" borderId="36" xfId="0" applyFont="1" applyBorder="1" applyAlignment="1">
      <alignment horizontal="center" vertical="center" wrapText="1" readingOrder="2"/>
    </xf>
    <xf numFmtId="0" fontId="90" fillId="0" borderId="0" xfId="0" applyFont="1" applyBorder="1" applyAlignment="1">
      <alignment horizontal="center" vertical="center" readingOrder="2"/>
    </xf>
    <xf numFmtId="0" fontId="3" fillId="0" borderId="19" xfId="0" applyFont="1" applyBorder="1" applyAlignment="1">
      <alignment horizontal="center" vertical="center" wrapText="1" readingOrder="2"/>
    </xf>
    <xf numFmtId="0" fontId="3" fillId="2" borderId="19" xfId="0" applyFont="1" applyFill="1" applyBorder="1" applyAlignment="1">
      <alignment horizontal="center" vertical="center" readingOrder="2"/>
    </xf>
    <xf numFmtId="0" fontId="3" fillId="8" borderId="19" xfId="0" applyFont="1" applyFill="1" applyBorder="1" applyAlignment="1">
      <alignment horizontal="center" vertical="center" readingOrder="2"/>
    </xf>
    <xf numFmtId="0" fontId="3" fillId="0" borderId="37" xfId="0" applyFont="1" applyFill="1" applyBorder="1" applyAlignment="1">
      <alignment horizontal="center" vertical="center" wrapText="1" readingOrder="2"/>
    </xf>
    <xf numFmtId="0" fontId="3" fillId="0" borderId="38" xfId="0" applyFont="1" applyFill="1" applyBorder="1" applyAlignment="1">
      <alignment horizontal="center" vertical="center" wrapText="1" readingOrder="2"/>
    </xf>
    <xf numFmtId="0" fontId="3" fillId="0" borderId="36" xfId="0" applyFont="1" applyFill="1" applyBorder="1" applyAlignment="1">
      <alignment horizontal="center" vertical="center" wrapText="1" readingOrder="2"/>
    </xf>
    <xf numFmtId="0" fontId="54" fillId="23" borderId="19" xfId="0" applyFont="1" applyFill="1" applyBorder="1" applyAlignment="1">
      <alignment horizontal="center" vertical="center" readingOrder="2"/>
    </xf>
    <xf numFmtId="0" fontId="3" fillId="0" borderId="19" xfId="0" applyFont="1" applyFill="1" applyBorder="1" applyAlignment="1">
      <alignment horizontal="center" vertical="center" readingOrder="2"/>
    </xf>
    <xf numFmtId="0" fontId="3" fillId="0" borderId="19" xfId="0" applyFont="1" applyFill="1" applyBorder="1" applyAlignment="1">
      <alignment horizontal="center" vertical="center" wrapText="1" readingOrder="2"/>
    </xf>
    <xf numFmtId="0" fontId="3" fillId="0" borderId="11" xfId="0" applyFont="1" applyBorder="1" applyAlignment="1">
      <alignment horizontal="center" vertical="center" readingOrder="2"/>
    </xf>
    <xf numFmtId="0" fontId="3" fillId="0" borderId="12" xfId="0" applyFont="1" applyBorder="1" applyAlignment="1">
      <alignment horizontal="center" vertical="center" readingOrder="2"/>
    </xf>
    <xf numFmtId="0" fontId="3" fillId="0" borderId="13" xfId="0" applyFont="1" applyBorder="1" applyAlignment="1">
      <alignment horizontal="center" vertical="center" readingOrder="2"/>
    </xf>
    <xf numFmtId="0" fontId="3" fillId="3" borderId="19" xfId="0" applyFont="1" applyFill="1" applyBorder="1" applyAlignment="1">
      <alignment horizontal="center" vertical="center" readingOrder="2"/>
    </xf>
    <xf numFmtId="0" fontId="7" fillId="0" borderId="11" xfId="0" applyFont="1" applyFill="1" applyBorder="1" applyAlignment="1">
      <alignment horizontal="center" vertical="center" readingOrder="2"/>
    </xf>
    <xf numFmtId="0" fontId="7" fillId="0" borderId="12" xfId="0" applyFont="1" applyFill="1" applyBorder="1" applyAlignment="1">
      <alignment horizontal="center" vertical="center" readingOrder="2"/>
    </xf>
    <xf numFmtId="0" fontId="7" fillId="0" borderId="13" xfId="0" applyFont="1" applyFill="1" applyBorder="1" applyAlignment="1">
      <alignment horizontal="center" vertical="center" readingOrder="2"/>
    </xf>
    <xf numFmtId="0" fontId="7" fillId="0" borderId="11" xfId="0" applyFont="1" applyBorder="1" applyAlignment="1">
      <alignment horizontal="center" vertical="center" readingOrder="2"/>
    </xf>
    <xf numFmtId="0" fontId="7" fillId="0" borderId="12" xfId="0" applyFont="1" applyBorder="1" applyAlignment="1">
      <alignment horizontal="center" vertical="center" readingOrder="2"/>
    </xf>
    <xf numFmtId="0" fontId="7" fillId="0" borderId="13" xfId="0" applyFont="1" applyBorder="1" applyAlignment="1">
      <alignment horizontal="center" vertical="center" readingOrder="2"/>
    </xf>
    <xf numFmtId="0" fontId="54" fillId="23" borderId="41" xfId="0" applyFont="1" applyFill="1" applyBorder="1" applyAlignment="1">
      <alignment horizontal="center" vertical="center" readingOrder="2"/>
    </xf>
    <xf numFmtId="0" fontId="54" fillId="23" borderId="39" xfId="0" applyFont="1" applyFill="1" applyBorder="1" applyAlignment="1">
      <alignment horizontal="center" vertical="center" readingOrder="2"/>
    </xf>
    <xf numFmtId="0" fontId="54" fillId="23" borderId="40" xfId="0" applyFont="1" applyFill="1" applyBorder="1" applyAlignment="1">
      <alignment horizontal="center" vertical="center" readingOrder="2"/>
    </xf>
    <xf numFmtId="0" fontId="136" fillId="11" borderId="19" xfId="0" applyFont="1" applyFill="1" applyBorder="1" applyAlignment="1">
      <alignment horizontal="center" vertical="center" readingOrder="2"/>
    </xf>
    <xf numFmtId="0" fontId="134" fillId="0" borderId="19" xfId="0" applyFont="1" applyFill="1" applyBorder="1" applyAlignment="1">
      <alignment horizontal="center" vertical="center" readingOrder="2"/>
    </xf>
    <xf numFmtId="0" fontId="23" fillId="0" borderId="37" xfId="0" applyFont="1" applyFill="1" applyBorder="1" applyAlignment="1">
      <alignment horizontal="center" vertical="center" textRotation="90" readingOrder="2"/>
    </xf>
    <xf numFmtId="0" fontId="23" fillId="0" borderId="38" xfId="0" applyFont="1" applyFill="1" applyBorder="1" applyAlignment="1">
      <alignment horizontal="center" vertical="center" textRotation="90" readingOrder="2"/>
    </xf>
    <xf numFmtId="0" fontId="23" fillId="0" borderId="36" xfId="0" applyFont="1" applyFill="1" applyBorder="1" applyAlignment="1">
      <alignment horizontal="center" vertical="center" textRotation="90" readingOrder="2"/>
    </xf>
    <xf numFmtId="0" fontId="134" fillId="0" borderId="19" xfId="0" applyFont="1" applyFill="1" applyBorder="1" applyAlignment="1">
      <alignment horizontal="center" vertical="center" wrapText="1" readingOrder="2"/>
    </xf>
    <xf numFmtId="0" fontId="136" fillId="0" borderId="19" xfId="0" applyFont="1" applyFill="1" applyBorder="1" applyAlignment="1">
      <alignment horizontal="center" vertical="center" readingOrder="2"/>
    </xf>
    <xf numFmtId="2" fontId="136" fillId="0" borderId="19" xfId="0" applyNumberFormat="1" applyFont="1" applyFill="1" applyBorder="1" applyAlignment="1">
      <alignment horizontal="center" vertical="center" readingOrder="2"/>
    </xf>
    <xf numFmtId="0" fontId="135" fillId="0" borderId="0" xfId="0" applyFont="1" applyFill="1" applyBorder="1" applyAlignment="1">
      <alignment horizontal="center" vertical="center" readingOrder="2"/>
    </xf>
    <xf numFmtId="9" fontId="76" fillId="23" borderId="43" xfId="1" applyFont="1" applyFill="1" applyBorder="1" applyAlignment="1">
      <alignment horizontal="center" vertical="center" readingOrder="2"/>
    </xf>
    <xf numFmtId="9" fontId="76" fillId="23" borderId="85" xfId="1" applyFont="1" applyFill="1" applyBorder="1" applyAlignment="1">
      <alignment horizontal="center" vertical="center" readingOrder="2"/>
    </xf>
    <xf numFmtId="164" fontId="74" fillId="2" borderId="19" xfId="0" applyNumberFormat="1" applyFont="1" applyFill="1" applyBorder="1" applyAlignment="1">
      <alignment horizontal="center" vertical="center" readingOrder="2"/>
    </xf>
    <xf numFmtId="0" fontId="56" fillId="23" borderId="19" xfId="0" applyFont="1" applyFill="1" applyBorder="1" applyAlignment="1">
      <alignment horizontal="center" vertical="center" readingOrder="2"/>
    </xf>
    <xf numFmtId="0" fontId="74" fillId="2" borderId="19" xfId="0" applyFont="1" applyFill="1" applyBorder="1" applyAlignment="1">
      <alignment horizontal="center" vertical="center" readingOrder="2"/>
    </xf>
    <xf numFmtId="0" fontId="74" fillId="0" borderId="19" xfId="0" applyFont="1" applyBorder="1" applyAlignment="1">
      <alignment horizontal="center" vertical="center" readingOrder="2"/>
    </xf>
    <xf numFmtId="0" fontId="113" fillId="11" borderId="46" xfId="0" applyFont="1" applyFill="1" applyBorder="1" applyAlignment="1">
      <alignment horizontal="center" vertical="center" wrapText="1" readingOrder="2"/>
    </xf>
    <xf numFmtId="0" fontId="113" fillId="11" borderId="47" xfId="0" applyFont="1" applyFill="1" applyBorder="1" applyAlignment="1">
      <alignment horizontal="center" vertical="center" wrapText="1" readingOrder="2"/>
    </xf>
    <xf numFmtId="0" fontId="113" fillId="11" borderId="48" xfId="0" applyFont="1" applyFill="1" applyBorder="1" applyAlignment="1">
      <alignment horizontal="center" vertical="center" wrapText="1" readingOrder="2"/>
    </xf>
    <xf numFmtId="0" fontId="106" fillId="0" borderId="49" xfId="0" applyFont="1" applyBorder="1" applyAlignment="1">
      <alignment horizontal="center" vertical="center" wrapText="1" readingOrder="2"/>
    </xf>
    <xf numFmtId="0" fontId="106" fillId="0" borderId="19" xfId="0" applyFont="1" applyBorder="1" applyAlignment="1">
      <alignment horizontal="center" vertical="center" wrapText="1" readingOrder="2"/>
    </xf>
    <xf numFmtId="0" fontId="112" fillId="0" borderId="51" xfId="0" applyFont="1" applyBorder="1" applyAlignment="1">
      <alignment horizontal="center" vertical="center" wrapText="1" readingOrder="2"/>
    </xf>
    <xf numFmtId="0" fontId="112" fillId="0" borderId="52" xfId="0" applyFont="1" applyBorder="1" applyAlignment="1">
      <alignment horizontal="center" vertical="center" wrapText="1" readingOrder="2"/>
    </xf>
    <xf numFmtId="9" fontId="76" fillId="23" borderId="15" xfId="1" applyFont="1" applyFill="1" applyBorder="1" applyAlignment="1">
      <alignment horizontal="center" vertical="center" readingOrder="2"/>
    </xf>
    <xf numFmtId="9" fontId="76" fillId="23" borderId="9" xfId="1" applyFont="1" applyFill="1" applyBorder="1" applyAlignment="1">
      <alignment horizontal="center" vertical="center" readingOrder="2"/>
    </xf>
    <xf numFmtId="164" fontId="74" fillId="0" borderId="37" xfId="0" applyNumberFormat="1" applyFont="1" applyBorder="1" applyAlignment="1">
      <alignment horizontal="center" vertical="center" readingOrder="2"/>
    </xf>
    <xf numFmtId="164" fontId="74" fillId="0" borderId="36" xfId="0" applyNumberFormat="1" applyFont="1" applyBorder="1" applyAlignment="1">
      <alignment horizontal="center" vertical="center" readingOrder="2"/>
    </xf>
    <xf numFmtId="0" fontId="74" fillId="0" borderId="19" xfId="0" applyFont="1" applyFill="1" applyBorder="1" applyAlignment="1">
      <alignment horizontal="center" vertical="center" readingOrder="2"/>
    </xf>
    <xf numFmtId="164" fontId="74" fillId="0" borderId="37" xfId="0" applyNumberFormat="1" applyFont="1" applyFill="1" applyBorder="1" applyAlignment="1">
      <alignment horizontal="center" vertical="center" readingOrder="2"/>
    </xf>
    <xf numFmtId="164" fontId="74" fillId="0" borderId="36" xfId="0" applyNumberFormat="1" applyFont="1" applyFill="1" applyBorder="1" applyAlignment="1">
      <alignment horizontal="center" vertical="center" readingOrder="2"/>
    </xf>
    <xf numFmtId="0" fontId="46" fillId="2" borderId="0" xfId="0" applyFont="1" applyFill="1" applyAlignment="1">
      <alignment horizontal="center" vertical="center" readingOrder="2"/>
    </xf>
    <xf numFmtId="0" fontId="49" fillId="2" borderId="19" xfId="0" applyFont="1" applyFill="1" applyBorder="1" applyAlignment="1">
      <alignment horizontal="center" vertical="center" readingOrder="2"/>
    </xf>
    <xf numFmtId="0" fontId="50" fillId="11" borderId="52" xfId="0" applyFont="1" applyFill="1" applyBorder="1" applyAlignment="1">
      <alignment horizontal="center" vertical="center" readingOrder="2"/>
    </xf>
    <xf numFmtId="0" fontId="50" fillId="11" borderId="36" xfId="0" applyFont="1" applyFill="1" applyBorder="1" applyAlignment="1">
      <alignment horizontal="center" vertical="center" readingOrder="2"/>
    </xf>
    <xf numFmtId="0" fontId="50" fillId="11" borderId="19" xfId="0" applyFont="1" applyFill="1" applyBorder="1" applyAlignment="1">
      <alignment horizontal="center" vertical="center" readingOrder="2"/>
    </xf>
    <xf numFmtId="0" fontId="66" fillId="0" borderId="11" xfId="0" applyFont="1" applyBorder="1" applyAlignment="1">
      <alignment horizontal="center" vertical="center" wrapText="1"/>
    </xf>
    <xf numFmtId="0" fontId="66" fillId="0" borderId="14" xfId="0" applyFont="1" applyBorder="1" applyAlignment="1">
      <alignment horizontal="center" vertical="center" wrapText="1"/>
    </xf>
    <xf numFmtId="0" fontId="66" fillId="0" borderId="86" xfId="0" applyFont="1" applyBorder="1" applyAlignment="1">
      <alignment horizontal="center" vertical="center" wrapText="1"/>
    </xf>
    <xf numFmtId="0" fontId="64" fillId="0" borderId="83" xfId="0" applyFont="1" applyBorder="1" applyAlignment="1">
      <alignment horizontal="center" vertical="center" wrapText="1"/>
    </xf>
    <xf numFmtId="0" fontId="64" fillId="0" borderId="45" xfId="0" applyFont="1" applyBorder="1" applyAlignment="1">
      <alignment horizontal="center" vertical="center" wrapText="1"/>
    </xf>
    <xf numFmtId="0" fontId="66" fillId="0" borderId="11" xfId="0" applyFont="1" applyBorder="1" applyAlignment="1">
      <alignment horizontal="center" vertical="center"/>
    </xf>
    <xf numFmtId="0" fontId="66" fillId="0" borderId="12" xfId="0" applyFont="1" applyBorder="1" applyAlignment="1">
      <alignment horizontal="center" vertical="center"/>
    </xf>
    <xf numFmtId="0" fontId="66" fillId="0" borderId="13" xfId="0" applyFont="1" applyBorder="1" applyAlignment="1">
      <alignment horizontal="center" vertical="center"/>
    </xf>
    <xf numFmtId="0" fontId="49" fillId="2" borderId="47" xfId="0" applyFont="1" applyFill="1" applyBorder="1" applyAlignment="1">
      <alignment horizontal="center" vertical="center" readingOrder="2"/>
    </xf>
    <xf numFmtId="0" fontId="70" fillId="0" borderId="84" xfId="0" applyFont="1" applyBorder="1" applyAlignment="1">
      <alignment horizontal="center" vertical="center" wrapText="1"/>
    </xf>
    <xf numFmtId="0" fontId="70" fillId="0" borderId="45" xfId="0" applyFont="1" applyBorder="1" applyAlignment="1">
      <alignment horizontal="center" vertical="center" wrapText="1"/>
    </xf>
    <xf numFmtId="0" fontId="50" fillId="0" borderId="41" xfId="0" applyFont="1" applyBorder="1" applyAlignment="1">
      <alignment horizontal="center" vertical="center" readingOrder="2"/>
    </xf>
    <xf numFmtId="0" fontId="50" fillId="0" borderId="40" xfId="0" applyFont="1" applyBorder="1" applyAlignment="1">
      <alignment horizontal="center" vertical="center" readingOrder="2"/>
    </xf>
    <xf numFmtId="0" fontId="66" fillId="0" borderId="83" xfId="0" applyFont="1" applyBorder="1" applyAlignment="1">
      <alignment horizontal="center" vertical="center" wrapText="1"/>
    </xf>
    <xf numFmtId="0" fontId="50" fillId="0" borderId="19" xfId="0" applyFont="1" applyBorder="1" applyAlignment="1">
      <alignment horizontal="center" vertical="center" readingOrder="2"/>
    </xf>
    <xf numFmtId="0" fontId="73" fillId="0" borderId="36" xfId="0" applyFont="1" applyBorder="1" applyAlignment="1">
      <alignment horizontal="center" vertical="center" wrapText="1"/>
    </xf>
    <xf numFmtId="0" fontId="73" fillId="0" borderId="19" xfId="0" applyFont="1" applyBorder="1" applyAlignment="1">
      <alignment horizontal="center" vertical="center" wrapText="1"/>
    </xf>
    <xf numFmtId="0" fontId="61" fillId="0" borderId="19" xfId="0" applyFont="1" applyBorder="1" applyAlignment="1">
      <alignment horizontal="center" vertical="center" wrapText="1"/>
    </xf>
    <xf numFmtId="0" fontId="66" fillId="0" borderId="12" xfId="0" applyFont="1" applyBorder="1" applyAlignment="1">
      <alignment horizontal="center" vertical="center" wrapText="1"/>
    </xf>
    <xf numFmtId="0" fontId="66" fillId="0" borderId="13" xfId="0" applyFont="1" applyBorder="1" applyAlignment="1">
      <alignment horizontal="center" vertical="center" wrapText="1"/>
    </xf>
    <xf numFmtId="0" fontId="62" fillId="0" borderId="19" xfId="0" applyFont="1" applyBorder="1" applyAlignment="1">
      <alignment horizontal="center" vertical="center" wrapText="1"/>
    </xf>
    <xf numFmtId="0" fontId="47" fillId="0" borderId="19" xfId="0" applyFont="1" applyBorder="1" applyAlignment="1">
      <alignment horizontal="center" vertical="center" wrapText="1" readingOrder="2"/>
    </xf>
    <xf numFmtId="0" fontId="64" fillId="0" borderId="19" xfId="0" applyFont="1" applyBorder="1" applyAlignment="1">
      <alignment horizontal="center" vertical="center" wrapText="1"/>
    </xf>
    <xf numFmtId="0" fontId="67" fillId="0" borderId="19" xfId="0" applyFont="1" applyBorder="1" applyAlignment="1">
      <alignment horizontal="center" vertical="center" wrapText="1"/>
    </xf>
    <xf numFmtId="164" fontId="74" fillId="0" borderId="19" xfId="0" applyNumberFormat="1" applyFont="1" applyBorder="1" applyAlignment="1">
      <alignment horizontal="center" vertical="center" readingOrder="2"/>
    </xf>
    <xf numFmtId="0" fontId="87" fillId="0" borderId="0" xfId="0" applyFont="1" applyFill="1" applyBorder="1" applyAlignment="1">
      <alignment horizontal="center" vertical="center" readingOrder="2"/>
    </xf>
    <xf numFmtId="164" fontId="74" fillId="0" borderId="19" xfId="0" applyNumberFormat="1" applyFont="1" applyFill="1" applyBorder="1" applyAlignment="1">
      <alignment horizontal="center" vertical="center" readingOrder="2"/>
    </xf>
    <xf numFmtId="0" fontId="80" fillId="2" borderId="0" xfId="0" applyFont="1" applyFill="1" applyAlignment="1">
      <alignment horizontal="center" vertical="center" readingOrder="2"/>
    </xf>
    <xf numFmtId="0" fontId="51" fillId="11" borderId="19" xfId="0" applyFont="1" applyFill="1" applyBorder="1" applyAlignment="1">
      <alignment horizontal="center" vertical="center" readingOrder="2"/>
    </xf>
    <xf numFmtId="0" fontId="50" fillId="0" borderId="19" xfId="0" applyFont="1" applyFill="1" applyBorder="1" applyAlignment="1">
      <alignment horizontal="center" vertical="center" wrapText="1" readingOrder="2"/>
    </xf>
    <xf numFmtId="0" fontId="50" fillId="0" borderId="19" xfId="0" applyFont="1" applyFill="1" applyBorder="1" applyAlignment="1">
      <alignment horizontal="center" vertical="center" readingOrder="2"/>
    </xf>
    <xf numFmtId="0" fontId="51" fillId="0" borderId="19" xfId="0" applyFont="1" applyFill="1" applyBorder="1" applyAlignment="1">
      <alignment horizontal="center" vertical="center" readingOrder="2"/>
    </xf>
    <xf numFmtId="164" fontId="51" fillId="0" borderId="19" xfId="0" applyNumberFormat="1" applyFont="1" applyFill="1" applyBorder="1" applyAlignment="1">
      <alignment horizontal="center" vertical="center" readingOrder="2"/>
    </xf>
    <xf numFmtId="164" fontId="51" fillId="0" borderId="37" xfId="0" applyNumberFormat="1" applyFont="1" applyFill="1" applyBorder="1" applyAlignment="1">
      <alignment horizontal="center" vertical="center" readingOrder="2"/>
    </xf>
    <xf numFmtId="164" fontId="51" fillId="0" borderId="38" xfId="0" applyNumberFormat="1" applyFont="1" applyFill="1" applyBorder="1" applyAlignment="1">
      <alignment horizontal="center" vertical="center" readingOrder="2"/>
    </xf>
    <xf numFmtId="164" fontId="51" fillId="0" borderId="36" xfId="0" applyNumberFormat="1" applyFont="1" applyFill="1" applyBorder="1" applyAlignment="1">
      <alignment horizontal="center" vertical="center" readingOrder="2"/>
    </xf>
    <xf numFmtId="0" fontId="50" fillId="0" borderId="37" xfId="0" applyFont="1" applyFill="1" applyBorder="1" applyAlignment="1">
      <alignment horizontal="center" vertical="center" wrapText="1" readingOrder="2"/>
    </xf>
    <xf numFmtId="0" fontId="50" fillId="0" borderId="38" xfId="0" applyFont="1" applyFill="1" applyBorder="1" applyAlignment="1">
      <alignment horizontal="center" vertical="center" wrapText="1" readingOrder="2"/>
    </xf>
    <xf numFmtId="0" fontId="50" fillId="0" borderId="36" xfId="0" applyFont="1" applyFill="1" applyBorder="1" applyAlignment="1">
      <alignment horizontal="center" vertical="center" wrapText="1" readingOrder="2"/>
    </xf>
    <xf numFmtId="0" fontId="50" fillId="2" borderId="19" xfId="0" applyFont="1" applyFill="1" applyBorder="1" applyAlignment="1">
      <alignment horizontal="center" vertical="center" readingOrder="2"/>
    </xf>
    <xf numFmtId="0" fontId="51" fillId="2" borderId="19" xfId="0" applyFont="1" applyFill="1" applyBorder="1" applyAlignment="1">
      <alignment horizontal="center" vertical="center" readingOrder="2"/>
    </xf>
    <xf numFmtId="0" fontId="51" fillId="0" borderId="19" xfId="0" applyFont="1" applyBorder="1" applyAlignment="1">
      <alignment horizontal="center" vertical="center" readingOrder="2"/>
    </xf>
    <xf numFmtId="164" fontId="51" fillId="0" borderId="19" xfId="0" applyNumberFormat="1" applyFont="1" applyBorder="1" applyAlignment="1">
      <alignment horizontal="center" vertical="center" readingOrder="2"/>
    </xf>
    <xf numFmtId="0" fontId="50" fillId="0" borderId="37" xfId="0" applyFont="1" applyBorder="1" applyAlignment="1">
      <alignment horizontal="center" vertical="center" wrapText="1" readingOrder="2"/>
    </xf>
    <xf numFmtId="0" fontId="50" fillId="0" borderId="38" xfId="0" applyFont="1" applyBorder="1" applyAlignment="1">
      <alignment horizontal="center" vertical="center" wrapText="1" readingOrder="2"/>
    </xf>
    <xf numFmtId="0" fontId="50" fillId="0" borderId="36" xfId="0" applyFont="1" applyBorder="1" applyAlignment="1">
      <alignment horizontal="center" vertical="center" wrapText="1" readingOrder="2"/>
    </xf>
    <xf numFmtId="164" fontId="51" fillId="2" borderId="19" xfId="0" applyNumberFormat="1" applyFont="1" applyFill="1" applyBorder="1" applyAlignment="1">
      <alignment horizontal="center" vertical="center" readingOrder="2"/>
    </xf>
    <xf numFmtId="0" fontId="50" fillId="0" borderId="19" xfId="0" applyFont="1" applyBorder="1" applyAlignment="1">
      <alignment horizontal="center" vertical="center" wrapText="1" readingOrder="2"/>
    </xf>
    <xf numFmtId="0" fontId="87" fillId="0" borderId="0" xfId="0" applyFont="1" applyBorder="1" applyAlignment="1">
      <alignment horizontal="center" vertical="center" readingOrder="2"/>
    </xf>
    <xf numFmtId="0" fontId="90" fillId="0" borderId="0" xfId="0" applyFont="1" applyFill="1" applyBorder="1" applyAlignment="1">
      <alignment horizontal="center" vertical="center" readingOrder="2"/>
    </xf>
    <xf numFmtId="0" fontId="50" fillId="2" borderId="19" xfId="0" applyFont="1" applyFill="1" applyBorder="1" applyAlignment="1">
      <alignment horizontal="center" vertical="center" wrapText="1" readingOrder="2"/>
    </xf>
    <xf numFmtId="0" fontId="92" fillId="2" borderId="37" xfId="0" applyFont="1" applyFill="1" applyBorder="1" applyAlignment="1">
      <alignment horizontal="center" vertical="center" readingOrder="2"/>
    </xf>
    <xf numFmtId="0" fontId="92" fillId="2" borderId="38" xfId="0" applyFont="1" applyFill="1" applyBorder="1" applyAlignment="1">
      <alignment horizontal="center" vertical="center" readingOrder="2"/>
    </xf>
    <xf numFmtId="0" fontId="92" fillId="2" borderId="36" xfId="0" applyFont="1" applyFill="1" applyBorder="1" applyAlignment="1">
      <alignment horizontal="center" vertical="center" readingOrder="2"/>
    </xf>
    <xf numFmtId="0" fontId="51" fillId="11" borderId="11" xfId="0" applyFont="1" applyFill="1" applyBorder="1" applyAlignment="1">
      <alignment horizontal="center" vertical="center" readingOrder="2"/>
    </xf>
    <xf numFmtId="0" fontId="51" fillId="11" borderId="13" xfId="0" applyFont="1" applyFill="1" applyBorder="1" applyAlignment="1">
      <alignment horizontal="center" vertical="center" readingOrder="2"/>
    </xf>
    <xf numFmtId="0" fontId="56" fillId="23" borderId="11" xfId="0" applyFont="1" applyFill="1" applyBorder="1" applyAlignment="1">
      <alignment horizontal="center" vertical="center" readingOrder="2"/>
    </xf>
    <xf numFmtId="0" fontId="56" fillId="23" borderId="12" xfId="0" applyFont="1" applyFill="1" applyBorder="1" applyAlignment="1">
      <alignment horizontal="center" vertical="center" readingOrder="2"/>
    </xf>
    <xf numFmtId="0" fontId="56" fillId="23" borderId="13" xfId="0" applyFont="1" applyFill="1" applyBorder="1" applyAlignment="1">
      <alignment horizontal="center" vertical="center" readingOrder="2"/>
    </xf>
    <xf numFmtId="0" fontId="50" fillId="2" borderId="3" xfId="0" applyFont="1" applyFill="1" applyBorder="1" applyAlignment="1">
      <alignment horizontal="center" vertical="center" readingOrder="2"/>
    </xf>
    <xf numFmtId="0" fontId="50" fillId="2" borderId="9" xfId="0" applyFont="1" applyFill="1" applyBorder="1" applyAlignment="1">
      <alignment horizontal="center" vertical="center" readingOrder="2"/>
    </xf>
    <xf numFmtId="0" fontId="50" fillId="2" borderId="15" xfId="0" applyFont="1" applyFill="1" applyBorder="1" applyAlignment="1">
      <alignment horizontal="center" vertical="center" readingOrder="2"/>
    </xf>
    <xf numFmtId="0" fontId="50" fillId="2" borderId="44" xfId="0" applyFont="1" applyFill="1" applyBorder="1" applyAlignment="1">
      <alignment horizontal="center" vertical="center" readingOrder="2"/>
    </xf>
    <xf numFmtId="0" fontId="50" fillId="5" borderId="11" xfId="0" applyFont="1" applyFill="1" applyBorder="1" applyAlignment="1">
      <alignment horizontal="center" vertical="center" readingOrder="2"/>
    </xf>
    <xf numFmtId="0" fontId="50" fillId="5" borderId="12" xfId="0" applyFont="1" applyFill="1" applyBorder="1" applyAlignment="1">
      <alignment horizontal="center" vertical="center" readingOrder="2"/>
    </xf>
    <xf numFmtId="0" fontId="50" fillId="5" borderId="13" xfId="0" applyFont="1" applyFill="1" applyBorder="1" applyAlignment="1">
      <alignment horizontal="center" vertical="center" readingOrder="2"/>
    </xf>
    <xf numFmtId="0" fontId="88" fillId="0" borderId="0" xfId="0" applyFont="1" applyBorder="1" applyAlignment="1">
      <alignment horizontal="center" vertical="center" readingOrder="2"/>
    </xf>
    <xf numFmtId="0" fontId="50" fillId="3" borderId="4" xfId="0" applyFont="1" applyFill="1" applyBorder="1" applyAlignment="1">
      <alignment horizontal="center" vertical="center" readingOrder="2"/>
    </xf>
    <xf numFmtId="0" fontId="50" fillId="3" borderId="17" xfId="0" applyFont="1" applyFill="1" applyBorder="1" applyAlignment="1">
      <alignment horizontal="center" vertical="center" readingOrder="2"/>
    </xf>
    <xf numFmtId="0" fontId="50" fillId="3" borderId="7" xfId="0" applyFont="1" applyFill="1" applyBorder="1" applyAlignment="1">
      <alignment horizontal="center" vertical="center" readingOrder="2"/>
    </xf>
    <xf numFmtId="0" fontId="50" fillId="3" borderId="8" xfId="0" applyFont="1" applyFill="1" applyBorder="1" applyAlignment="1">
      <alignment horizontal="center" vertical="center" readingOrder="2"/>
    </xf>
    <xf numFmtId="0" fontId="50" fillId="3" borderId="10" xfId="0" applyFont="1" applyFill="1" applyBorder="1" applyAlignment="1">
      <alignment horizontal="center" vertical="center" readingOrder="2"/>
    </xf>
    <xf numFmtId="0" fontId="50" fillId="2" borderId="4" xfId="0" applyFont="1" applyFill="1" applyBorder="1" applyAlignment="1">
      <alignment horizontal="center" vertical="center" readingOrder="2"/>
    </xf>
    <xf numFmtId="0" fontId="50" fillId="2" borderId="17" xfId="0" applyFont="1" applyFill="1" applyBorder="1" applyAlignment="1">
      <alignment horizontal="center" vertical="center" readingOrder="2"/>
    </xf>
    <xf numFmtId="0" fontId="50" fillId="2" borderId="5" xfId="0" applyFont="1" applyFill="1" applyBorder="1" applyAlignment="1">
      <alignment horizontal="center" vertical="center" readingOrder="2"/>
    </xf>
    <xf numFmtId="0" fontId="50" fillId="2" borderId="20" xfId="0" applyFont="1" applyFill="1" applyBorder="1" applyAlignment="1">
      <alignment horizontal="center" vertical="center" readingOrder="2"/>
    </xf>
    <xf numFmtId="0" fontId="50" fillId="2" borderId="8" xfId="0" applyFont="1" applyFill="1" applyBorder="1" applyAlignment="1">
      <alignment horizontal="center" vertical="center" readingOrder="2"/>
    </xf>
    <xf numFmtId="0" fontId="50" fillId="2" borderId="10" xfId="0" applyFont="1" applyFill="1" applyBorder="1" applyAlignment="1">
      <alignment horizontal="center" vertical="center" readingOrder="2"/>
    </xf>
    <xf numFmtId="0" fontId="50" fillId="3" borderId="15" xfId="0" applyFont="1" applyFill="1" applyBorder="1" applyAlignment="1">
      <alignment horizontal="center" vertical="center" readingOrder="2"/>
    </xf>
    <xf numFmtId="0" fontId="50" fillId="3" borderId="3" xfId="0" applyFont="1" applyFill="1" applyBorder="1" applyAlignment="1">
      <alignment horizontal="center" vertical="center" readingOrder="2"/>
    </xf>
    <xf numFmtId="0" fontId="50" fillId="3" borderId="18" xfId="0" applyFont="1" applyFill="1" applyBorder="1" applyAlignment="1">
      <alignment horizontal="center" vertical="center" readingOrder="2"/>
    </xf>
    <xf numFmtId="0" fontId="50" fillId="3" borderId="9" xfId="0" applyFont="1" applyFill="1" applyBorder="1" applyAlignment="1">
      <alignment horizontal="center" vertical="center" readingOrder="2"/>
    </xf>
    <xf numFmtId="0" fontId="50" fillId="2" borderId="6" xfId="0" applyFont="1" applyFill="1" applyBorder="1" applyAlignment="1">
      <alignment horizontal="center" vertical="center" readingOrder="2"/>
    </xf>
    <xf numFmtId="0" fontId="50" fillId="2" borderId="18" xfId="0" applyFont="1" applyFill="1" applyBorder="1" applyAlignment="1">
      <alignment horizontal="center" vertical="center" readingOrder="2"/>
    </xf>
    <xf numFmtId="0" fontId="94" fillId="2" borderId="0" xfId="0" applyFont="1" applyFill="1" applyAlignment="1">
      <alignment horizontal="center" vertical="center" readingOrder="2"/>
    </xf>
    <xf numFmtId="0" fontId="76" fillId="0" borderId="2" xfId="0" applyFont="1" applyBorder="1" applyAlignment="1">
      <alignment horizontal="center" vertical="center" readingOrder="2"/>
    </xf>
    <xf numFmtId="0" fontId="92" fillId="0" borderId="15" xfId="0" applyFont="1" applyFill="1" applyBorder="1" applyAlignment="1">
      <alignment horizontal="center" vertical="top" readingOrder="2"/>
    </xf>
    <xf numFmtId="0" fontId="92" fillId="0" borderId="3" xfId="0" applyFont="1" applyFill="1" applyBorder="1" applyAlignment="1">
      <alignment horizontal="center" vertical="top" readingOrder="2"/>
    </xf>
    <xf numFmtId="0" fontId="92" fillId="0" borderId="9" xfId="0" applyFont="1" applyFill="1" applyBorder="1" applyAlignment="1">
      <alignment horizontal="center" vertical="top" readingOrder="2"/>
    </xf>
    <xf numFmtId="0" fontId="56" fillId="23" borderId="2" xfId="0" applyFont="1" applyFill="1" applyBorder="1" applyAlignment="1">
      <alignment horizontal="center" vertical="center" readingOrder="2"/>
    </xf>
    <xf numFmtId="0" fontId="56" fillId="23" borderId="16" xfId="0" applyFont="1" applyFill="1" applyBorder="1" applyAlignment="1">
      <alignment horizontal="center" vertical="center" readingOrder="2"/>
    </xf>
    <xf numFmtId="0" fontId="51" fillId="11" borderId="34" xfId="0" applyFont="1" applyFill="1" applyBorder="1" applyAlignment="1">
      <alignment horizontal="center" vertical="center" readingOrder="2"/>
    </xf>
    <xf numFmtId="0" fontId="51" fillId="11" borderId="35" xfId="0" applyFont="1" applyFill="1" applyBorder="1" applyAlignment="1">
      <alignment horizontal="center" vertical="center" readingOrder="2"/>
    </xf>
    <xf numFmtId="0" fontId="97" fillId="0" borderId="15" xfId="0" applyFont="1" applyBorder="1" applyAlignment="1">
      <alignment horizontal="center" vertical="center" wrapText="1" readingOrder="2"/>
    </xf>
    <xf numFmtId="0" fontId="97" fillId="0" borderId="3" xfId="0" applyFont="1" applyBorder="1" applyAlignment="1">
      <alignment horizontal="center" vertical="center" wrapText="1" readingOrder="2"/>
    </xf>
    <xf numFmtId="0" fontId="97" fillId="0" borderId="9" xfId="0" applyFont="1" applyBorder="1" applyAlignment="1">
      <alignment horizontal="center" vertical="center" wrapText="1" readingOrder="2"/>
    </xf>
    <xf numFmtId="0" fontId="92" fillId="0" borderId="15" xfId="0" applyFont="1" applyFill="1" applyBorder="1" applyAlignment="1">
      <alignment horizontal="center" vertical="center" readingOrder="2"/>
    </xf>
    <xf numFmtId="0" fontId="92" fillId="0" borderId="3" xfId="0" applyFont="1" applyFill="1" applyBorder="1" applyAlignment="1">
      <alignment horizontal="center" vertical="center" readingOrder="2"/>
    </xf>
    <xf numFmtId="0" fontId="92" fillId="0" borderId="9" xfId="0" applyFont="1" applyFill="1" applyBorder="1" applyAlignment="1">
      <alignment horizontal="center" vertical="center" readingOrder="2"/>
    </xf>
    <xf numFmtId="0" fontId="50" fillId="3" borderId="20" xfId="0" applyFont="1" applyFill="1" applyBorder="1" applyAlignment="1">
      <alignment horizontal="center" vertical="center" readingOrder="2"/>
    </xf>
    <xf numFmtId="0" fontId="50" fillId="0" borderId="5" xfId="0" applyFont="1" applyBorder="1" applyAlignment="1">
      <alignment horizontal="center" vertical="center" readingOrder="2"/>
    </xf>
    <xf numFmtId="0" fontId="50" fillId="0" borderId="44" xfId="0" applyFont="1" applyBorder="1" applyAlignment="1">
      <alignment horizontal="center" vertical="center" readingOrder="2"/>
    </xf>
    <xf numFmtId="0" fontId="50" fillId="3" borderId="5" xfId="0" applyFont="1" applyFill="1" applyBorder="1" applyAlignment="1">
      <alignment horizontal="center" vertical="center" readingOrder="2"/>
    </xf>
    <xf numFmtId="0" fontId="51" fillId="0" borderId="5" xfId="0" applyFont="1" applyBorder="1" applyAlignment="1">
      <alignment horizontal="center" vertical="center" readingOrder="2"/>
    </xf>
    <xf numFmtId="0" fontId="51" fillId="0" borderId="44" xfId="0" applyFont="1" applyBorder="1" applyAlignment="1">
      <alignment horizontal="center" vertical="center" readingOrder="2"/>
    </xf>
    <xf numFmtId="2" fontId="51" fillId="14" borderId="5" xfId="0" applyNumberFormat="1" applyFont="1" applyFill="1" applyBorder="1" applyAlignment="1">
      <alignment horizontal="center" vertical="center" readingOrder="2"/>
    </xf>
    <xf numFmtId="2" fontId="51" fillId="14" borderId="44" xfId="0" applyNumberFormat="1" applyFont="1" applyFill="1" applyBorder="1" applyAlignment="1">
      <alignment horizontal="center" vertical="center" readingOrder="2"/>
    </xf>
    <xf numFmtId="2" fontId="51" fillId="0" borderId="5" xfId="0" applyNumberFormat="1" applyFont="1" applyBorder="1" applyAlignment="1">
      <alignment horizontal="center" vertical="center" readingOrder="2"/>
    </xf>
    <xf numFmtId="2" fontId="51" fillId="0" borderId="44" xfId="0" applyNumberFormat="1" applyFont="1" applyBorder="1" applyAlignment="1">
      <alignment horizontal="center" vertical="center" readingOrder="2"/>
    </xf>
    <xf numFmtId="0" fontId="50" fillId="3" borderId="84" xfId="0" applyFont="1" applyFill="1" applyBorder="1" applyAlignment="1">
      <alignment horizontal="center" vertical="center" readingOrder="2"/>
    </xf>
    <xf numFmtId="2" fontId="51" fillId="0" borderId="15" xfId="0" applyNumberFormat="1" applyFont="1" applyBorder="1" applyAlignment="1">
      <alignment horizontal="center" vertical="center" readingOrder="2"/>
    </xf>
    <xf numFmtId="0" fontId="50" fillId="3" borderId="44" xfId="0" applyFont="1" applyFill="1" applyBorder="1" applyAlignment="1">
      <alignment horizontal="center" vertical="center" readingOrder="2"/>
    </xf>
    <xf numFmtId="0" fontId="26" fillId="0" borderId="0" xfId="0" applyFont="1" applyBorder="1" applyAlignment="1">
      <alignment horizontal="center" vertical="top"/>
    </xf>
    <xf numFmtId="0" fontId="27" fillId="0" borderId="0" xfId="0" applyFont="1" applyAlignment="1">
      <alignment horizontal="center" vertical="center"/>
    </xf>
    <xf numFmtId="0" fontId="110" fillId="0" borderId="0" xfId="0" applyFont="1" applyFill="1" applyAlignment="1">
      <alignment horizontal="center" vertical="center"/>
    </xf>
    <xf numFmtId="0" fontId="111" fillId="0" borderId="2" xfId="0" applyFont="1" applyFill="1" applyBorder="1" applyAlignment="1">
      <alignment horizontal="center" vertical="top"/>
    </xf>
    <xf numFmtId="0" fontId="100" fillId="22" borderId="41" xfId="0" applyFont="1" applyFill="1" applyBorder="1" applyAlignment="1">
      <alignment horizontal="center" vertical="center" wrapText="1" readingOrder="2"/>
    </xf>
    <xf numFmtId="0" fontId="100" fillId="22" borderId="40" xfId="0" applyFont="1" applyFill="1" applyBorder="1" applyAlignment="1">
      <alignment horizontal="center" vertical="center" wrapText="1" readingOrder="2"/>
    </xf>
    <xf numFmtId="0" fontId="100" fillId="22" borderId="37" xfId="0" applyFont="1" applyFill="1" applyBorder="1" applyAlignment="1">
      <alignment horizontal="center" vertical="center" wrapText="1" readingOrder="2"/>
    </xf>
    <xf numFmtId="0" fontId="100" fillId="22" borderId="36" xfId="0" applyFont="1" applyFill="1" applyBorder="1" applyAlignment="1">
      <alignment horizontal="center" vertical="center" wrapText="1" readingOrder="2"/>
    </xf>
    <xf numFmtId="0" fontId="36" fillId="2" borderId="41" xfId="0" applyFont="1" applyFill="1" applyBorder="1" applyAlignment="1">
      <alignment horizontal="center" vertical="center" wrapText="1" readingOrder="2"/>
    </xf>
    <xf numFmtId="0" fontId="36" fillId="2" borderId="40" xfId="0" applyFont="1" applyFill="1" applyBorder="1" applyAlignment="1">
      <alignment horizontal="center" vertical="center" wrapText="1" readingOrder="2"/>
    </xf>
    <xf numFmtId="0" fontId="108" fillId="2" borderId="19" xfId="0" applyFont="1" applyFill="1" applyBorder="1" applyAlignment="1">
      <alignment horizontal="center" vertical="center" wrapText="1" readingOrder="2"/>
    </xf>
    <xf numFmtId="0" fontId="100" fillId="2" borderId="19" xfId="0" applyFont="1" applyFill="1" applyBorder="1" applyAlignment="1">
      <alignment horizontal="center" vertical="center" wrapText="1" readingOrder="2"/>
    </xf>
    <xf numFmtId="164" fontId="17" fillId="0" borderId="63" xfId="0" applyNumberFormat="1" applyFont="1" applyBorder="1" applyAlignment="1">
      <alignment horizontal="center" vertical="center" readingOrder="2"/>
    </xf>
    <xf numFmtId="164" fontId="17" fillId="0" borderId="65" xfId="0" applyNumberFormat="1" applyFont="1" applyBorder="1" applyAlignment="1">
      <alignment horizontal="center" vertical="center" readingOrder="2"/>
    </xf>
    <xf numFmtId="164" fontId="17" fillId="0" borderId="64" xfId="0" applyNumberFormat="1" applyFont="1" applyBorder="1" applyAlignment="1">
      <alignment horizontal="center" vertical="center" readingOrder="2"/>
    </xf>
    <xf numFmtId="0" fontId="18" fillId="8" borderId="41" xfId="0" applyFont="1" applyFill="1" applyBorder="1" applyAlignment="1">
      <alignment horizontal="center" vertical="center" readingOrder="2"/>
    </xf>
    <xf numFmtId="0" fontId="18" fillId="8" borderId="39" xfId="0" applyFont="1" applyFill="1" applyBorder="1" applyAlignment="1">
      <alignment horizontal="center" vertical="center" readingOrder="2"/>
    </xf>
    <xf numFmtId="0" fontId="18" fillId="8" borderId="40" xfId="0" applyFont="1" applyFill="1" applyBorder="1" applyAlignment="1">
      <alignment horizontal="center" vertical="center" readingOrder="2"/>
    </xf>
    <xf numFmtId="0" fontId="18" fillId="0" borderId="38" xfId="0" applyFont="1" applyBorder="1" applyAlignment="1">
      <alignment horizontal="center" vertical="top" wrapText="1" readingOrder="2"/>
    </xf>
    <xf numFmtId="0" fontId="18" fillId="0" borderId="36" xfId="0" applyFont="1" applyBorder="1" applyAlignment="1">
      <alignment horizontal="center" vertical="top" wrapText="1" readingOrder="2"/>
    </xf>
    <xf numFmtId="0" fontId="18" fillId="3" borderId="38" xfId="0" applyFont="1" applyFill="1" applyBorder="1" applyAlignment="1">
      <alignment horizontal="center" vertical="center" readingOrder="2"/>
    </xf>
    <xf numFmtId="0" fontId="18" fillId="3" borderId="36" xfId="0" applyFont="1" applyFill="1" applyBorder="1" applyAlignment="1">
      <alignment horizontal="center" vertical="center" readingOrder="2"/>
    </xf>
    <xf numFmtId="0" fontId="18" fillId="0" borderId="37" xfId="0" applyFont="1" applyBorder="1" applyAlignment="1">
      <alignment horizontal="center" vertical="center" readingOrder="2"/>
    </xf>
    <xf numFmtId="0" fontId="18" fillId="0" borderId="36" xfId="0" applyFont="1" applyBorder="1" applyAlignment="1">
      <alignment horizontal="center" vertical="center" readingOrder="2"/>
    </xf>
    <xf numFmtId="0" fontId="18" fillId="0" borderId="38" xfId="0" applyFont="1" applyFill="1" applyBorder="1" applyAlignment="1">
      <alignment horizontal="center" vertical="top" wrapText="1" readingOrder="2"/>
    </xf>
    <xf numFmtId="0" fontId="18" fillId="0" borderId="36" xfId="0" applyFont="1" applyFill="1" applyBorder="1" applyAlignment="1">
      <alignment horizontal="center" vertical="top" wrapText="1" readingOrder="2"/>
    </xf>
    <xf numFmtId="0" fontId="18" fillId="0" borderId="19" xfId="0" applyFont="1" applyFill="1" applyBorder="1" applyAlignment="1">
      <alignment horizontal="center" vertical="center" readingOrder="2"/>
    </xf>
    <xf numFmtId="0" fontId="18" fillId="0" borderId="41" xfId="0" applyFont="1" applyFill="1" applyBorder="1" applyAlignment="1">
      <alignment horizontal="center" vertical="center" readingOrder="2"/>
    </xf>
    <xf numFmtId="0" fontId="18" fillId="0" borderId="39" xfId="0" applyFont="1" applyFill="1" applyBorder="1" applyAlignment="1">
      <alignment horizontal="center" vertical="center" readingOrder="2"/>
    </xf>
    <xf numFmtId="0" fontId="18" fillId="0" borderId="40" xfId="0" applyFont="1" applyFill="1" applyBorder="1" applyAlignment="1">
      <alignment horizontal="center" vertical="center" readingOrder="2"/>
    </xf>
    <xf numFmtId="0" fontId="17" fillId="0" borderId="19" xfId="0" applyFont="1" applyFill="1" applyBorder="1" applyAlignment="1">
      <alignment horizontal="center" vertical="center" readingOrder="2"/>
    </xf>
    <xf numFmtId="0" fontId="17" fillId="0" borderId="37" xfId="0" applyFont="1" applyFill="1" applyBorder="1" applyAlignment="1">
      <alignment horizontal="center" vertical="center" readingOrder="2"/>
    </xf>
    <xf numFmtId="0" fontId="18" fillId="3" borderId="37" xfId="0" applyFont="1" applyFill="1" applyBorder="1" applyAlignment="1">
      <alignment horizontal="center" vertical="center" readingOrder="2"/>
    </xf>
    <xf numFmtId="0" fontId="18" fillId="0" borderId="61" xfId="0" applyFont="1" applyFill="1" applyBorder="1" applyAlignment="1">
      <alignment horizontal="center" vertical="center" readingOrder="2"/>
    </xf>
    <xf numFmtId="0" fontId="18" fillId="0" borderId="62" xfId="0" applyFont="1" applyFill="1" applyBorder="1" applyAlignment="1">
      <alignment horizontal="center" vertical="center" readingOrder="2"/>
    </xf>
    <xf numFmtId="164" fontId="17" fillId="0" borderId="50" xfId="0" applyNumberFormat="1" applyFont="1" applyFill="1" applyBorder="1" applyAlignment="1">
      <alignment horizontal="center" vertical="center" readingOrder="2"/>
    </xf>
    <xf numFmtId="164" fontId="17" fillId="0" borderId="63" xfId="0" applyNumberFormat="1" applyFont="1" applyFill="1" applyBorder="1" applyAlignment="1">
      <alignment horizontal="center" vertical="center" readingOrder="2"/>
    </xf>
    <xf numFmtId="0" fontId="18" fillId="0" borderId="37" xfId="0" applyFont="1" applyBorder="1" applyAlignment="1">
      <alignment horizontal="center" vertical="top" wrapText="1" readingOrder="2"/>
    </xf>
    <xf numFmtId="0" fontId="18" fillId="3" borderId="19" xfId="0" applyFont="1" applyFill="1" applyBorder="1" applyAlignment="1">
      <alignment horizontal="center" vertical="center" readingOrder="2"/>
    </xf>
    <xf numFmtId="0" fontId="17" fillId="0" borderId="19" xfId="0" applyFont="1" applyBorder="1" applyAlignment="1">
      <alignment horizontal="center" vertical="center" readingOrder="2"/>
    </xf>
    <xf numFmtId="0" fontId="17" fillId="10" borderId="19" xfId="0" applyFont="1" applyFill="1" applyBorder="1" applyAlignment="1">
      <alignment horizontal="center" vertical="center" readingOrder="2"/>
    </xf>
    <xf numFmtId="0" fontId="18" fillId="5" borderId="68" xfId="0" applyFont="1" applyFill="1" applyBorder="1" applyAlignment="1">
      <alignment horizontal="center" vertical="center" readingOrder="2"/>
    </xf>
    <xf numFmtId="0" fontId="18" fillId="5" borderId="69" xfId="0" applyFont="1" applyFill="1" applyBorder="1" applyAlignment="1">
      <alignment horizontal="center" vertical="center" readingOrder="2"/>
    </xf>
    <xf numFmtId="0" fontId="18" fillId="5" borderId="70" xfId="0" applyFont="1" applyFill="1" applyBorder="1" applyAlignment="1">
      <alignment horizontal="center" vertical="center" readingOrder="2"/>
    </xf>
    <xf numFmtId="0" fontId="18" fillId="5" borderId="41" xfId="0" applyFont="1" applyFill="1" applyBorder="1" applyAlignment="1">
      <alignment horizontal="center" vertical="center" readingOrder="2"/>
    </xf>
    <xf numFmtId="0" fontId="18" fillId="5" borderId="39" xfId="0" applyFont="1" applyFill="1" applyBorder="1" applyAlignment="1">
      <alignment horizontal="center" vertical="center" readingOrder="2"/>
    </xf>
    <xf numFmtId="0" fontId="18" fillId="5" borderId="40" xfId="0" applyFont="1" applyFill="1" applyBorder="1" applyAlignment="1">
      <alignment horizontal="center" vertical="center" readingOrder="2"/>
    </xf>
    <xf numFmtId="0" fontId="17" fillId="4" borderId="26" xfId="0" applyFont="1" applyFill="1" applyBorder="1" applyAlignment="1">
      <alignment horizontal="center" vertical="center" readingOrder="2"/>
    </xf>
    <xf numFmtId="0" fontId="17" fillId="4" borderId="27" xfId="0" applyFont="1" applyFill="1" applyBorder="1" applyAlignment="1">
      <alignment horizontal="center" vertical="center" readingOrder="2"/>
    </xf>
    <xf numFmtId="0" fontId="17" fillId="4" borderId="28" xfId="0" applyFont="1" applyFill="1" applyBorder="1" applyAlignment="1">
      <alignment horizontal="center" vertical="center" readingOrder="2"/>
    </xf>
    <xf numFmtId="0" fontId="17" fillId="4" borderId="29" xfId="0" applyFont="1" applyFill="1" applyBorder="1" applyAlignment="1">
      <alignment horizontal="center" vertical="center" readingOrder="2"/>
    </xf>
    <xf numFmtId="0" fontId="17" fillId="4" borderId="0" xfId="0" applyFont="1" applyFill="1" applyBorder="1" applyAlignment="1">
      <alignment horizontal="center" vertical="center" readingOrder="2"/>
    </xf>
    <xf numFmtId="0" fontId="17" fillId="4" borderId="30" xfId="0" applyFont="1" applyFill="1" applyBorder="1" applyAlignment="1">
      <alignment horizontal="center" vertical="center" readingOrder="2"/>
    </xf>
    <xf numFmtId="0" fontId="17" fillId="4" borderId="31" xfId="0" applyFont="1" applyFill="1" applyBorder="1" applyAlignment="1">
      <alignment horizontal="center" vertical="center" readingOrder="2"/>
    </xf>
    <xf numFmtId="0" fontId="17" fillId="4" borderId="32" xfId="0" applyFont="1" applyFill="1" applyBorder="1" applyAlignment="1">
      <alignment horizontal="center" vertical="center" readingOrder="2"/>
    </xf>
    <xf numFmtId="0" fontId="17" fillId="4" borderId="33" xfId="0" applyFont="1" applyFill="1" applyBorder="1" applyAlignment="1">
      <alignment horizontal="center" vertical="center" readingOrder="2"/>
    </xf>
    <xf numFmtId="0" fontId="18" fillId="0" borderId="37" xfId="0" applyFont="1" applyFill="1" applyBorder="1" applyAlignment="1">
      <alignment horizontal="center" vertical="center" wrapText="1" readingOrder="2"/>
    </xf>
    <xf numFmtId="0" fontId="18" fillId="0" borderId="38" xfId="0" applyFont="1" applyFill="1" applyBorder="1" applyAlignment="1">
      <alignment horizontal="center" vertical="center" wrapText="1" readingOrder="2"/>
    </xf>
    <xf numFmtId="0" fontId="18" fillId="0" borderId="36" xfId="0" applyFont="1" applyFill="1" applyBorder="1" applyAlignment="1">
      <alignment horizontal="center" vertical="center" wrapText="1" readingOrder="2"/>
    </xf>
    <xf numFmtId="0" fontId="17" fillId="10" borderId="37" xfId="0" applyFont="1" applyFill="1" applyBorder="1" applyAlignment="1">
      <alignment horizontal="center" vertical="center" readingOrder="2"/>
    </xf>
    <xf numFmtId="0" fontId="17" fillId="10" borderId="36" xfId="0" applyFont="1" applyFill="1" applyBorder="1" applyAlignment="1">
      <alignment horizontal="center" vertical="center" readingOrder="2"/>
    </xf>
    <xf numFmtId="2" fontId="17" fillId="0" borderId="63" xfId="0" applyNumberFormat="1" applyFont="1" applyBorder="1" applyAlignment="1">
      <alignment horizontal="center" vertical="center" readingOrder="2"/>
    </xf>
    <xf numFmtId="2" fontId="17" fillId="0" borderId="64" xfId="0" applyNumberFormat="1" applyFont="1" applyBorder="1" applyAlignment="1">
      <alignment horizontal="center" vertical="center" readingOrder="2"/>
    </xf>
    <xf numFmtId="0" fontId="18" fillId="8" borderId="19" xfId="0" applyFont="1" applyFill="1" applyBorder="1" applyAlignment="1">
      <alignment horizontal="center" vertical="center" readingOrder="2"/>
    </xf>
    <xf numFmtId="0" fontId="18" fillId="0" borderId="37" xfId="0" applyFont="1" applyFill="1" applyBorder="1" applyAlignment="1">
      <alignment horizontal="center" vertical="center" readingOrder="2"/>
    </xf>
    <xf numFmtId="0" fontId="18" fillId="0" borderId="38" xfId="0" applyFont="1" applyFill="1" applyBorder="1" applyAlignment="1">
      <alignment horizontal="center" vertical="center" readingOrder="2"/>
    </xf>
    <xf numFmtId="0" fontId="18" fillId="0" borderId="36" xfId="0" applyFont="1" applyFill="1" applyBorder="1" applyAlignment="1">
      <alignment horizontal="center" vertical="center" readingOrder="2"/>
    </xf>
    <xf numFmtId="0" fontId="17" fillId="0" borderId="36" xfId="0" applyFont="1" applyFill="1" applyBorder="1" applyAlignment="1">
      <alignment horizontal="center" vertical="center" readingOrder="2"/>
    </xf>
    <xf numFmtId="164" fontId="17" fillId="0" borderId="64" xfId="0" applyNumberFormat="1" applyFont="1" applyFill="1" applyBorder="1" applyAlignment="1">
      <alignment horizontal="center" vertical="center" readingOrder="2"/>
    </xf>
    <xf numFmtId="0" fontId="17" fillId="0" borderId="37" xfId="0" applyFont="1" applyBorder="1" applyAlignment="1">
      <alignment horizontal="center" vertical="center" readingOrder="2"/>
    </xf>
    <xf numFmtId="0" fontId="17" fillId="0" borderId="36" xfId="0" applyFont="1" applyBorder="1" applyAlignment="1">
      <alignment horizontal="center" vertical="center" readingOrder="2"/>
    </xf>
    <xf numFmtId="0" fontId="16" fillId="2" borderId="0" xfId="0" applyFont="1" applyFill="1" applyAlignment="1">
      <alignment horizontal="center" vertical="center" readingOrder="2"/>
    </xf>
    <xf numFmtId="0" fontId="17" fillId="0" borderId="0" xfId="0" applyFont="1" applyBorder="1" applyAlignment="1">
      <alignment horizontal="center" vertical="center" readingOrder="2"/>
    </xf>
    <xf numFmtId="0" fontId="17" fillId="0" borderId="73" xfId="0" applyFont="1" applyFill="1" applyBorder="1" applyAlignment="1">
      <alignment horizontal="center" vertical="center" readingOrder="2"/>
    </xf>
    <xf numFmtId="0" fontId="17" fillId="0" borderId="74" xfId="0" applyFont="1" applyFill="1" applyBorder="1" applyAlignment="1">
      <alignment horizontal="center" vertical="center" readingOrder="2"/>
    </xf>
    <xf numFmtId="0" fontId="17" fillId="0" borderId="61" xfId="0" applyFont="1" applyFill="1" applyBorder="1" applyAlignment="1">
      <alignment horizontal="center" vertical="center" readingOrder="2"/>
    </xf>
    <xf numFmtId="0" fontId="17" fillId="0" borderId="32" xfId="0" applyFont="1" applyFill="1" applyBorder="1" applyAlignment="1">
      <alignment horizontal="center" vertical="center" readingOrder="2"/>
    </xf>
    <xf numFmtId="0" fontId="17" fillId="0" borderId="72" xfId="0" applyFont="1" applyFill="1" applyBorder="1" applyAlignment="1">
      <alignment horizontal="center" vertical="center" readingOrder="2"/>
    </xf>
    <xf numFmtId="164" fontId="17" fillId="0" borderId="65" xfId="0" applyNumberFormat="1" applyFont="1" applyFill="1" applyBorder="1" applyAlignment="1">
      <alignment horizontal="center" vertical="center" readingOrder="2"/>
    </xf>
    <xf numFmtId="0" fontId="18" fillId="0" borderId="37" xfId="0" applyFont="1" applyBorder="1" applyAlignment="1">
      <alignment horizontal="center" vertical="center" wrapText="1" readingOrder="2"/>
    </xf>
    <xf numFmtId="0" fontId="18" fillId="0" borderId="38" xfId="0" applyFont="1" applyBorder="1" applyAlignment="1">
      <alignment horizontal="center" vertical="center" wrapText="1" readingOrder="2"/>
    </xf>
    <xf numFmtId="0" fontId="18" fillId="0" borderId="36" xfId="0" applyFont="1" applyBorder="1" applyAlignment="1">
      <alignment horizontal="center" vertical="center" wrapText="1" readingOrder="2"/>
    </xf>
    <xf numFmtId="0" fontId="18" fillId="0" borderId="37" xfId="0" applyFont="1" applyFill="1" applyBorder="1" applyAlignment="1">
      <alignment horizontal="center" vertical="top" wrapText="1" readingOrder="2"/>
    </xf>
    <xf numFmtId="0" fontId="18" fillId="2" borderId="38" xfId="0" applyFont="1" applyFill="1" applyBorder="1" applyAlignment="1">
      <alignment horizontal="center" vertical="top" wrapText="1" readingOrder="2"/>
    </xf>
    <xf numFmtId="0" fontId="18" fillId="2" borderId="36" xfId="0" applyFont="1" applyFill="1" applyBorder="1" applyAlignment="1">
      <alignment horizontal="center" vertical="top" wrapText="1" readingOrder="2"/>
    </xf>
    <xf numFmtId="0" fontId="18" fillId="2" borderId="38" xfId="0" applyFont="1" applyFill="1" applyBorder="1" applyAlignment="1">
      <alignment horizontal="center" vertical="center" readingOrder="2"/>
    </xf>
    <xf numFmtId="0" fontId="18" fillId="2" borderId="36" xfId="0" applyFont="1" applyFill="1" applyBorder="1" applyAlignment="1">
      <alignment horizontal="center" vertical="center" readingOrder="2"/>
    </xf>
    <xf numFmtId="0" fontId="18" fillId="2" borderId="41" xfId="0" applyFont="1" applyFill="1" applyBorder="1" applyAlignment="1">
      <alignment horizontal="center" vertical="center" readingOrder="2"/>
    </xf>
    <xf numFmtId="0" fontId="18" fillId="2" borderId="39" xfId="0" applyFont="1" applyFill="1" applyBorder="1" applyAlignment="1">
      <alignment horizontal="center" vertical="center" readingOrder="2"/>
    </xf>
    <xf numFmtId="0" fontId="18" fillId="2" borderId="40" xfId="0" applyFont="1" applyFill="1" applyBorder="1" applyAlignment="1">
      <alignment horizontal="center" vertical="center" readingOrder="2"/>
    </xf>
    <xf numFmtId="0" fontId="18" fillId="0" borderId="38" xfId="0" applyFont="1" applyBorder="1" applyAlignment="1">
      <alignment horizontal="center" vertical="top" readingOrder="2"/>
    </xf>
    <xf numFmtId="0" fontId="18" fillId="0" borderId="36" xfId="0" applyFont="1" applyBorder="1" applyAlignment="1">
      <alignment horizontal="center" vertical="top" readingOrder="2"/>
    </xf>
    <xf numFmtId="0" fontId="18" fillId="0" borderId="31" xfId="0" applyFont="1" applyFill="1" applyBorder="1" applyAlignment="1">
      <alignment horizontal="center" vertical="center" readingOrder="2"/>
    </xf>
    <xf numFmtId="0" fontId="18" fillId="0" borderId="32" xfId="0" applyFont="1" applyFill="1" applyBorder="1" applyAlignment="1">
      <alignment horizontal="center" vertical="center" readingOrder="2"/>
    </xf>
    <xf numFmtId="0" fontId="18" fillId="0" borderId="33" xfId="0" applyFont="1" applyFill="1" applyBorder="1" applyAlignment="1">
      <alignment horizontal="center" vertical="center" readingOrder="2"/>
    </xf>
    <xf numFmtId="0" fontId="4" fillId="6" borderId="0" xfId="0" applyFont="1" applyFill="1" applyAlignment="1">
      <alignment horizontal="center" readingOrder="2"/>
    </xf>
    <xf numFmtId="0" fontId="4" fillId="0" borderId="0" xfId="0" applyFont="1" applyAlignment="1">
      <alignment horizontal="center" readingOrder="2"/>
    </xf>
    <xf numFmtId="0" fontId="6" fillId="4" borderId="0" xfId="0" applyFont="1" applyFill="1" applyAlignment="1">
      <alignment horizontal="center" readingOrder="2"/>
    </xf>
    <xf numFmtId="0" fontId="4" fillId="6" borderId="0" xfId="0" applyFont="1" applyFill="1" applyAlignment="1">
      <alignment horizontal="center" wrapText="1" readingOrder="2"/>
    </xf>
    <xf numFmtId="0" fontId="23" fillId="0" borderId="19" xfId="0" applyFont="1" applyBorder="1" applyAlignment="1">
      <alignment horizontal="center" vertical="center"/>
    </xf>
    <xf numFmtId="0" fontId="33" fillId="0" borderId="41" xfId="0" applyFont="1" applyBorder="1" applyAlignment="1">
      <alignment horizontal="center" vertical="center"/>
    </xf>
    <xf numFmtId="0" fontId="33" fillId="0" borderId="40" xfId="0" applyFont="1" applyBorder="1" applyAlignment="1">
      <alignment horizontal="center" vertical="center"/>
    </xf>
    <xf numFmtId="0" fontId="33" fillId="0" borderId="19" xfId="0" applyFont="1" applyBorder="1" applyAlignment="1">
      <alignment horizontal="center" vertical="center"/>
    </xf>
    <xf numFmtId="0" fontId="37" fillId="0" borderId="19" xfId="2" applyFont="1" applyBorder="1" applyAlignment="1" applyProtection="1">
      <alignment horizontal="center" vertical="center"/>
    </xf>
    <xf numFmtId="0" fontId="37" fillId="0" borderId="37" xfId="2" applyFont="1" applyBorder="1" applyAlignment="1" applyProtection="1">
      <alignment horizontal="center" vertical="center"/>
    </xf>
    <xf numFmtId="0" fontId="37" fillId="0" borderId="38" xfId="2" applyFont="1" applyBorder="1" applyAlignment="1" applyProtection="1">
      <alignment horizontal="center" vertical="center"/>
    </xf>
    <xf numFmtId="0" fontId="37" fillId="0" borderId="36" xfId="2" applyFont="1" applyBorder="1" applyAlignment="1" applyProtection="1">
      <alignment horizontal="center" vertical="center"/>
    </xf>
    <xf numFmtId="0" fontId="53" fillId="0" borderId="37" xfId="2" applyFont="1" applyBorder="1" applyAlignment="1" applyProtection="1">
      <alignment horizontal="center" vertical="center"/>
    </xf>
    <xf numFmtId="0" fontId="53" fillId="0" borderId="38" xfId="2" applyFont="1" applyBorder="1" applyAlignment="1" applyProtection="1">
      <alignment horizontal="center" vertical="center"/>
    </xf>
    <xf numFmtId="0" fontId="53" fillId="0" borderId="36" xfId="2" applyFont="1" applyBorder="1" applyAlignment="1" applyProtection="1">
      <alignment horizontal="center" vertical="center"/>
    </xf>
    <xf numFmtId="0" fontId="33" fillId="16" borderId="11" xfId="0" applyFont="1" applyFill="1" applyBorder="1" applyAlignment="1">
      <alignment horizontal="center" vertical="center"/>
    </xf>
    <xf numFmtId="0" fontId="33" fillId="16" borderId="12" xfId="0" applyFont="1" applyFill="1" applyBorder="1" applyAlignment="1">
      <alignment horizontal="center" vertical="center"/>
    </xf>
    <xf numFmtId="0" fontId="33" fillId="16" borderId="13" xfId="0" applyFont="1" applyFill="1" applyBorder="1" applyAlignment="1">
      <alignment horizontal="center" vertical="center"/>
    </xf>
    <xf numFmtId="0" fontId="32" fillId="0" borderId="19" xfId="2" applyFont="1" applyBorder="1" applyAlignment="1" applyProtection="1">
      <alignment horizontal="center" vertical="center"/>
    </xf>
    <xf numFmtId="0" fontId="7" fillId="11" borderId="19" xfId="0" applyFont="1" applyFill="1" applyBorder="1" applyAlignment="1">
      <alignment horizontal="center" vertical="center"/>
    </xf>
    <xf numFmtId="0" fontId="4" fillId="0" borderId="19" xfId="0" applyFont="1" applyBorder="1" applyAlignment="1">
      <alignment horizontal="center" vertical="center"/>
    </xf>
    <xf numFmtId="0" fontId="117" fillId="0" borderId="0" xfId="0" applyFont="1" applyAlignment="1">
      <alignment horizontal="center" vertical="center"/>
    </xf>
    <xf numFmtId="0" fontId="57" fillId="0" borderId="19" xfId="0" applyFont="1" applyBorder="1" applyAlignment="1">
      <alignment horizontal="center" vertical="center" wrapText="1"/>
    </xf>
    <xf numFmtId="0" fontId="4" fillId="28" borderId="19" xfId="0" applyFont="1" applyFill="1" applyBorder="1" applyAlignment="1">
      <alignment horizontal="center" vertical="center"/>
    </xf>
    <xf numFmtId="0" fontId="4" fillId="0" borderId="37" xfId="0" applyFont="1" applyBorder="1" applyAlignment="1">
      <alignment horizontal="center" vertical="center"/>
    </xf>
    <xf numFmtId="0" fontId="4" fillId="0" borderId="36" xfId="0" applyFont="1" applyBorder="1" applyAlignment="1">
      <alignment horizontal="center" vertical="center"/>
    </xf>
    <xf numFmtId="0" fontId="116" fillId="0" borderId="0" xfId="0" applyFont="1" applyAlignment="1">
      <alignment horizontal="center" vertical="center"/>
    </xf>
    <xf numFmtId="0" fontId="0" fillId="0" borderId="26" xfId="0" applyBorder="1" applyAlignment="1">
      <alignment horizontal="center" vertical="center"/>
    </xf>
    <xf numFmtId="0" fontId="0" fillId="0" borderId="28" xfId="0" applyBorder="1" applyAlignment="1">
      <alignment horizontal="center" vertical="center"/>
    </xf>
    <xf numFmtId="0" fontId="0" fillId="0" borderId="31" xfId="0" applyBorder="1" applyAlignment="1">
      <alignment horizontal="center" vertical="center"/>
    </xf>
    <xf numFmtId="0" fontId="0" fillId="0" borderId="33" xfId="0" applyBorder="1" applyAlignment="1">
      <alignment horizontal="center" vertical="center"/>
    </xf>
    <xf numFmtId="0" fontId="0" fillId="0" borderId="41" xfId="0" applyBorder="1" applyAlignment="1">
      <alignment horizontal="center" vertical="center"/>
    </xf>
    <xf numFmtId="0" fontId="0" fillId="0" borderId="40" xfId="0" applyBorder="1" applyAlignment="1">
      <alignment horizontal="center" vertical="center"/>
    </xf>
    <xf numFmtId="0" fontId="57" fillId="0" borderId="19" xfId="0" applyFont="1" applyBorder="1" applyAlignment="1">
      <alignment horizontal="center" vertical="center"/>
    </xf>
    <xf numFmtId="0" fontId="123" fillId="0" borderId="0" xfId="0" applyFont="1" applyAlignment="1">
      <alignment horizontal="center" vertical="center"/>
    </xf>
    <xf numFmtId="0" fontId="124" fillId="0" borderId="19" xfId="0" applyFont="1" applyBorder="1" applyAlignment="1">
      <alignment horizontal="center" vertical="center"/>
    </xf>
    <xf numFmtId="0" fontId="121" fillId="0" borderId="19" xfId="0" applyFont="1" applyBorder="1" applyAlignment="1">
      <alignment horizontal="center" vertical="center" wrapText="1"/>
    </xf>
    <xf numFmtId="0" fontId="117" fillId="0" borderId="19" xfId="0" applyFont="1" applyBorder="1" applyAlignment="1">
      <alignment horizontal="center" vertical="center" wrapText="1"/>
    </xf>
    <xf numFmtId="0" fontId="124" fillId="0" borderId="37" xfId="0" applyFont="1" applyBorder="1" applyAlignment="1">
      <alignment horizontal="center" vertical="center" wrapText="1"/>
    </xf>
    <xf numFmtId="0" fontId="124" fillId="0" borderId="38" xfId="0" applyFont="1" applyBorder="1" applyAlignment="1">
      <alignment horizontal="center" vertical="center" wrapText="1"/>
    </xf>
    <xf numFmtId="0" fontId="122" fillId="0" borderId="37" xfId="0" applyFont="1" applyBorder="1" applyAlignment="1">
      <alignment horizontal="center" vertical="center" wrapText="1"/>
    </xf>
    <xf numFmtId="0" fontId="122" fillId="0" borderId="38" xfId="0" applyFont="1" applyBorder="1" applyAlignment="1">
      <alignment horizontal="center" vertical="center" wrapText="1"/>
    </xf>
    <xf numFmtId="0" fontId="122" fillId="0" borderId="36" xfId="0" applyFont="1" applyBorder="1" applyAlignment="1">
      <alignment horizontal="center" vertical="center" wrapText="1"/>
    </xf>
    <xf numFmtId="0" fontId="124" fillId="0" borderId="19" xfId="0" applyFont="1" applyBorder="1" applyAlignment="1">
      <alignment horizontal="center" vertical="center" wrapText="1"/>
    </xf>
    <xf numFmtId="0" fontId="6" fillId="2" borderId="32" xfId="0" applyFont="1" applyFill="1" applyBorder="1" applyAlignment="1">
      <alignment horizontal="center" vertical="center"/>
    </xf>
    <xf numFmtId="0" fontId="118" fillId="0" borderId="0" xfId="0" applyFont="1" applyAlignment="1">
      <alignment horizontal="center" vertical="center"/>
    </xf>
    <xf numFmtId="0" fontId="125" fillId="30" borderId="107" xfId="4" applyFont="1" applyFill="1" applyBorder="1" applyAlignment="1">
      <alignment horizontal="center"/>
    </xf>
    <xf numFmtId="0" fontId="125" fillId="30" borderId="109" xfId="4" applyFont="1" applyFill="1" applyBorder="1" applyAlignment="1">
      <alignment horizontal="center"/>
    </xf>
  </cellXfs>
  <cellStyles count="5">
    <cellStyle name="Normal 2" xfId="4" xr:uid="{00000000-0005-0000-0000-000002000000}"/>
    <cellStyle name="Normal_تحليلات الأسعار" xfId="3" xr:uid="{00000000-0005-0000-0000-000003000000}"/>
    <cellStyle name="Percent" xfId="1" builtinId="5"/>
    <cellStyle name="ارتباط تشعبي" xfId="2" builtinId="8"/>
    <cellStyle name="عادي" xfId="0" builtinId="0"/>
  </cellStyles>
  <dxfs count="21">
    <dxf>
      <font>
        <b val="0"/>
        <i val="0"/>
        <strike val="0"/>
        <condense val="0"/>
        <extend val="0"/>
        <outline val="0"/>
        <shadow val="0"/>
        <u val="none"/>
        <vertAlign val="baseline"/>
        <sz val="20"/>
        <color theme="1"/>
        <name val="Times New Roman"/>
        <scheme val="none"/>
      </font>
      <alignment horizontal="center" vertical="center" textRotation="0" wrapText="0" relativeIndent="0" justifyLastLine="0" shrinkToFit="0" readingOrder="2"/>
      <border diagonalUp="0" diagonalDown="0" outline="0">
        <left style="thin">
          <color indexed="64"/>
        </left>
        <right style="medium">
          <color indexed="64"/>
        </right>
        <top style="thin">
          <color indexed="64"/>
        </top>
        <bottom style="thin">
          <color indexed="64"/>
        </bottom>
      </border>
    </dxf>
    <dxf>
      <font>
        <b val="0"/>
        <i val="0"/>
        <strike val="0"/>
        <condense val="0"/>
        <extend val="0"/>
        <outline val="0"/>
        <shadow val="0"/>
        <u val="none"/>
        <vertAlign val="baseline"/>
        <sz val="20"/>
        <color theme="1"/>
        <name val="Times New Roman"/>
        <scheme val="none"/>
      </font>
      <alignment horizontal="center" vertical="center" textRotation="0" wrapText="0" relativeIndent="0" justifyLastLine="0" shrinkToFit="0" readingOrder="2"/>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20"/>
        <color theme="1"/>
        <name val="Times New Roman"/>
        <scheme val="none"/>
      </font>
      <alignment horizontal="center" vertical="center" textRotation="0" wrapText="0" relativeIndent="0" justifyLastLine="0" shrinkToFit="0" readingOrder="2"/>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20"/>
        <color theme="1"/>
        <name val="Times New Roman"/>
        <scheme val="none"/>
      </font>
      <alignment horizontal="center" vertical="center" textRotation="0" wrapText="0" relativeIndent="0" justifyLastLine="0" shrinkToFit="0" readingOrder="2"/>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20"/>
        <color theme="1"/>
        <name val="Times New Roman"/>
        <scheme val="none"/>
      </font>
      <alignment horizontal="center" vertical="center" textRotation="0" wrapText="0" relativeIndent="0" justifyLastLine="0" shrinkToFit="0" readingOrder="2"/>
      <border diagonalUp="0" diagonalDown="0" outline="0">
        <left style="medium">
          <color indexed="64"/>
        </left>
        <right style="thin">
          <color indexed="64"/>
        </right>
        <top style="thin">
          <color indexed="64"/>
        </top>
        <bottom style="thin">
          <color indexed="64"/>
        </bottom>
      </border>
    </dxf>
    <dxf>
      <border outline="0">
        <left style="medium">
          <color indexed="64"/>
        </left>
        <right style="medium">
          <color indexed="64"/>
        </right>
        <top style="medium">
          <color indexed="64"/>
        </top>
        <bottom style="medium">
          <color indexed="64"/>
        </bottom>
      </border>
    </dxf>
    <dxf>
      <font>
        <strike val="0"/>
        <outline val="0"/>
        <shadow val="0"/>
        <vertAlign val="baseline"/>
        <sz val="20"/>
      </font>
    </dxf>
    <dxf>
      <border outline="0">
        <bottom style="medium">
          <color indexed="64"/>
        </bottom>
      </border>
    </dxf>
    <dxf>
      <font>
        <b val="0"/>
        <i val="0"/>
        <strike val="0"/>
        <condense val="0"/>
        <extend val="0"/>
        <outline val="0"/>
        <shadow val="0"/>
        <u val="none"/>
        <vertAlign val="baseline"/>
        <sz val="20"/>
        <color theme="1"/>
        <name val="Times New Roman"/>
        <scheme val="none"/>
      </font>
      <alignment horizontal="center" vertical="center" textRotation="0" wrapText="0" relativeIndent="0" justifyLastLine="0" shrinkToFit="0" readingOrder="2"/>
      <border diagonalUp="0" diagonalDown="0" outline="0">
        <left style="thin">
          <color indexed="64"/>
        </left>
        <right style="thin">
          <color indexed="64"/>
        </right>
        <top/>
        <bottom/>
      </border>
    </dxf>
    <dxf>
      <font>
        <b val="0"/>
        <i val="0"/>
        <strike val="0"/>
        <condense val="0"/>
        <extend val="0"/>
        <outline val="0"/>
        <shadow val="0"/>
        <u val="none"/>
        <vertAlign val="baseline"/>
        <sz val="16"/>
        <color theme="1"/>
        <name val="Times New Roman"/>
        <scheme val="none"/>
      </font>
      <alignment horizontal="center" vertical="center" textRotation="0" wrapText="0" relativeIndent="0" justifyLastLine="0" shrinkToFit="0" readingOrder="2"/>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6"/>
        <color theme="1"/>
        <name val="Times New Roman"/>
        <scheme val="none"/>
      </font>
      <alignment horizontal="center" vertical="center" textRotation="0" wrapText="0" relativeIndent="0" justifyLastLine="0" shrinkToFit="0" readingOrder="2"/>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6"/>
        <color theme="1"/>
        <name val="Times New Roman"/>
        <scheme val="none"/>
      </font>
      <alignment horizontal="center" vertical="center" textRotation="0" wrapText="0" relativeIndent="0" justifyLastLine="0" shrinkToFit="0" readingOrder="2"/>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6"/>
        <color theme="1"/>
        <name val="Times New Roman"/>
        <scheme val="none"/>
      </font>
      <alignment horizontal="center" vertical="center" textRotation="0" wrapText="0" relativeIndent="0" justifyLastLine="0" shrinkToFit="0" readingOrder="2"/>
      <border diagonalUp="0" diagonalDown="0">
        <left/>
        <right style="thin">
          <color indexed="64"/>
        </right>
        <top style="thin">
          <color indexed="64"/>
        </top>
        <bottom style="thin">
          <color indexed="64"/>
        </bottom>
        <vertical/>
        <horizontal/>
      </border>
    </dxf>
    <dxf>
      <border outline="0">
        <left style="medium">
          <color indexed="64"/>
        </left>
        <right style="medium">
          <color indexed="64"/>
        </right>
        <top style="medium">
          <color indexed="64"/>
        </top>
        <bottom style="medium">
          <color indexed="64"/>
        </bottom>
      </border>
    </dxf>
    <dxf>
      <border outline="0">
        <bottom style="medium">
          <color indexed="64"/>
        </bottom>
      </border>
    </dxf>
    <dxf>
      <font>
        <b val="0"/>
        <i val="0"/>
        <strike val="0"/>
        <condense val="0"/>
        <extend val="0"/>
        <outline val="0"/>
        <shadow val="0"/>
        <u val="none"/>
        <vertAlign val="baseline"/>
        <sz val="16"/>
        <color theme="1"/>
        <name val="Times New Roman"/>
        <scheme val="none"/>
      </font>
      <alignment horizontal="center" vertical="center" textRotation="0" wrapText="0" relativeIndent="0" justifyLastLine="0" shrinkToFit="0" readingOrder="2"/>
      <border diagonalUp="0" diagonalDown="0">
        <left style="thin">
          <color indexed="64"/>
        </left>
        <right style="thin">
          <color indexed="64"/>
        </right>
        <top/>
        <bottom/>
      </border>
    </dxf>
    <dxf>
      <fill>
        <patternFill>
          <bgColor rgb="FFFEF0FD"/>
        </patternFill>
      </fill>
    </dxf>
    <dxf>
      <fill>
        <patternFill>
          <bgColor rgb="FFFFFFE1"/>
        </patternFill>
      </fill>
    </dxf>
    <dxf>
      <fill>
        <patternFill>
          <bgColor rgb="FFE292D7"/>
        </patternFill>
      </fill>
    </dxf>
    <dxf>
      <fill>
        <gradientFill type="path">
          <stop position="0">
            <color rgb="FFFFFFCC"/>
          </stop>
          <stop position="1">
            <color rgb="FFFFFDA9"/>
          </stop>
        </gradientFill>
      </fill>
    </dxf>
    <dxf>
      <fill>
        <patternFill>
          <fgColor theme="6" tint="0.59996337778862885"/>
        </patternFill>
      </fill>
    </dxf>
  </dxfs>
  <tableStyles count="2" defaultTableStyle="TableStyleMedium9" defaultPivotStyle="PivotStyleLight16">
    <tableStyle name="Table Style 1" pivot="0" count="2" xr9:uid="{00000000-0011-0000-FFFF-FFFF00000000}">
      <tableStyleElement type="wholeTable" dxfId="20"/>
      <tableStyleElement type="firstRowStripe" dxfId="19"/>
    </tableStyle>
    <tableStyle name="Table Style 2" pivot="0" count="3" xr9:uid="{00000000-0011-0000-FFFF-FFFF01000000}">
      <tableStyleElement type="headerRow" dxfId="18"/>
      <tableStyleElement type="firstRowStripe" dxfId="17"/>
      <tableStyleElement type="secondRowStripe" dxfId="16"/>
    </tableStyle>
  </tableStyles>
  <colors>
    <mruColors>
      <color rgb="FFFEF0FD"/>
      <color rgb="FFFFFFCC"/>
      <color rgb="FFFAC6F8"/>
      <color rgb="FFFFFDA9"/>
      <color rgb="FFDC97FF"/>
      <color rgb="FFD3F9FD"/>
      <color rgb="FFFFFFE1"/>
      <color rgb="FFE292D7"/>
      <color rgb="FFFEBD06"/>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hyperlink" Target="#&#1575;&#1604;&#1585;&#1582;&#1575;&#1605;!A1"/><Relationship Id="rId13" Type="http://schemas.openxmlformats.org/officeDocument/2006/relationships/hyperlink" Target="#&#1575;&#1604;&#1602;&#1585;&#1605;&#1610;&#1583;!A1"/><Relationship Id="rId3" Type="http://schemas.openxmlformats.org/officeDocument/2006/relationships/hyperlink" Target="#'&#1582;&#1585;&#1587;&#1575;&#1606;&#1577; &#1605;&#1587;&#1604;&#1581;&#1577;'!A1"/><Relationship Id="rId7" Type="http://schemas.openxmlformats.org/officeDocument/2006/relationships/hyperlink" Target="#&#1575;&#1604;&#1587;&#1610;&#1585;&#1575;&#1605;&#1610;&#1603;!A1"/><Relationship Id="rId12" Type="http://schemas.openxmlformats.org/officeDocument/2006/relationships/hyperlink" Target="#&#1575;&#1604;&#1583;&#1607;&#1575;&#1606;&#1575;&#1578;!A1"/><Relationship Id="rId17" Type="http://schemas.openxmlformats.org/officeDocument/2006/relationships/hyperlink" Target="#'cost estiment'!A1"/><Relationship Id="rId2" Type="http://schemas.openxmlformats.org/officeDocument/2006/relationships/hyperlink" Target="#'&#1582;&#1585;&#1587;&#1575;&#1606;&#1577; &#1593;&#1575;&#1583;&#1610;&#1577;'!A1"/><Relationship Id="rId16" Type="http://schemas.openxmlformats.org/officeDocument/2006/relationships/hyperlink" Target="#&#1575;&#1604;&#1610;&#1608;&#1605;&#1610;&#1575;&#1578;!A1"/><Relationship Id="rId1" Type="http://schemas.openxmlformats.org/officeDocument/2006/relationships/hyperlink" Target="#'&#1581;&#1601;&#1585; &#1608; &#1575;&#1581;&#1604;&#1575;&#1604;'!A1"/><Relationship Id="rId6" Type="http://schemas.openxmlformats.org/officeDocument/2006/relationships/hyperlink" Target="#&#1575;&#1604;&#1605;&#1576;&#1575;&#1606;&#1609;!A1"/><Relationship Id="rId11" Type="http://schemas.openxmlformats.org/officeDocument/2006/relationships/hyperlink" Target="#'&#1575;&#1604;&#1606;&#1580;&#1575;&#1585;&#1577; '!A1"/><Relationship Id="rId5" Type="http://schemas.openxmlformats.org/officeDocument/2006/relationships/hyperlink" Target="#&#1575;&#1604;&#1576;&#1610;&#1575;&#1590;!A1"/><Relationship Id="rId15" Type="http://schemas.openxmlformats.org/officeDocument/2006/relationships/hyperlink" Target="#'&#1575;&#1587;&#1593;&#1575;&#1585; &#1575;&#1604;&#1605;&#1589;&#1606;&#1593;&#1610;&#1575;&#1578;'!A1"/><Relationship Id="rId10" Type="http://schemas.openxmlformats.org/officeDocument/2006/relationships/hyperlink" Target="#&#1575;&#1604;&#1603;&#1607;&#1585;&#1576;&#1575;&#1569;!A1"/><Relationship Id="rId4" Type="http://schemas.openxmlformats.org/officeDocument/2006/relationships/hyperlink" Target="#'2- &#1593;&#1586;&#1604;'!A1"/><Relationship Id="rId9" Type="http://schemas.openxmlformats.org/officeDocument/2006/relationships/hyperlink" Target="#&#1575;&#1604;&#1589;&#1581;&#1609;!A1"/><Relationship Id="rId14" Type="http://schemas.openxmlformats.org/officeDocument/2006/relationships/hyperlink" Target="#'&#1575;&#1587;&#1593;&#1575;&#1585; &#1575;&#1604;&#1582;&#1575;&#1605;&#1575;&#1578;'!A1"/></Relationships>
</file>

<file path=xl/drawings/_rels/drawing2.xml.rels><?xml version="1.0" encoding="UTF-8" standalone="yes"?>
<Relationships xmlns="http://schemas.openxmlformats.org/package/2006/relationships"><Relationship Id="rId1" Type="http://schemas.openxmlformats.org/officeDocument/2006/relationships/hyperlink" Target="#'&#1575;&#1587;&#1593;&#1575;&#1585; &#1575;&#1604;&#1582;&#1585;&#1587;&#1575;&#1606;&#1575;&#1578;'!A1"/></Relationships>
</file>

<file path=xl/drawings/_rels/drawing3.xml.rels><?xml version="1.0" encoding="UTF-8" standalone="yes"?>
<Relationships xmlns="http://schemas.openxmlformats.org/package/2006/relationships"><Relationship Id="rId1" Type="http://schemas.openxmlformats.org/officeDocument/2006/relationships/hyperlink" Target="#'&#1575;&#1587;&#1593;&#1575;&#1585; &#1575;&#1604;&#1582;&#1585;&#1587;&#1575;&#1606;&#1575;&#1578;'!A1"/></Relationships>
</file>

<file path=xl/drawings/drawing1.xml><?xml version="1.0" encoding="utf-8"?>
<xdr:wsDr xmlns:xdr="http://schemas.openxmlformats.org/drawingml/2006/spreadsheetDrawing" xmlns:a="http://schemas.openxmlformats.org/drawingml/2006/main">
  <xdr:twoCellAnchor>
    <xdr:from>
      <xdr:col>1</xdr:col>
      <xdr:colOff>19050</xdr:colOff>
      <xdr:row>6</xdr:row>
      <xdr:rowOff>0</xdr:rowOff>
    </xdr:from>
    <xdr:to>
      <xdr:col>4</xdr:col>
      <xdr:colOff>0</xdr:colOff>
      <xdr:row>7</xdr:row>
      <xdr:rowOff>161925</xdr:rowOff>
    </xdr:to>
    <xdr:sp macro="" textlink="">
      <xdr:nvSpPr>
        <xdr:cNvPr id="2" name="Rounded Rectangle 1">
          <a:hlinkClick xmlns:r="http://schemas.openxmlformats.org/officeDocument/2006/relationships" r:id="rId1"/>
          <a:extLst>
            <a:ext uri="{FF2B5EF4-FFF2-40B4-BE49-F238E27FC236}">
              <a16:creationId xmlns:a16="http://schemas.microsoft.com/office/drawing/2014/main" id="{00000000-0008-0000-0000-000002000000}"/>
            </a:ext>
          </a:extLst>
        </xdr:cNvPr>
        <xdr:cNvSpPr/>
      </xdr:nvSpPr>
      <xdr:spPr>
        <a:xfrm>
          <a:off x="11233404000" y="542925"/>
          <a:ext cx="2038350" cy="342900"/>
        </a:xfrm>
        <a:prstGeom prst="roundRect">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1" anchor="ctr"/>
        <a:lstStyle/>
        <a:p>
          <a:pPr algn="ctr" rtl="1"/>
          <a:r>
            <a:rPr lang="ar-EG" sz="2000"/>
            <a:t>الحفر و الردم</a:t>
          </a:r>
        </a:p>
      </xdr:txBody>
    </xdr:sp>
    <xdr:clientData/>
  </xdr:twoCellAnchor>
  <xdr:twoCellAnchor>
    <xdr:from>
      <xdr:col>5</xdr:col>
      <xdr:colOff>0</xdr:colOff>
      <xdr:row>6</xdr:row>
      <xdr:rowOff>0</xdr:rowOff>
    </xdr:from>
    <xdr:to>
      <xdr:col>7</xdr:col>
      <xdr:colOff>666750</xdr:colOff>
      <xdr:row>7</xdr:row>
      <xdr:rowOff>161925</xdr:rowOff>
    </xdr:to>
    <xdr:sp macro="" textlink="">
      <xdr:nvSpPr>
        <xdr:cNvPr id="4" name="Rounded Rectangle 3">
          <a:hlinkClick xmlns:r="http://schemas.openxmlformats.org/officeDocument/2006/relationships" r:id="rId2"/>
          <a:extLst>
            <a:ext uri="{FF2B5EF4-FFF2-40B4-BE49-F238E27FC236}">
              <a16:creationId xmlns:a16="http://schemas.microsoft.com/office/drawing/2014/main" id="{00000000-0008-0000-0000-000004000000}"/>
            </a:ext>
          </a:extLst>
        </xdr:cNvPr>
        <xdr:cNvSpPr/>
      </xdr:nvSpPr>
      <xdr:spPr>
        <a:xfrm>
          <a:off x="11230679850" y="542925"/>
          <a:ext cx="2038350" cy="342900"/>
        </a:xfrm>
        <a:prstGeom prst="roundRect">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1" anchor="ctr"/>
        <a:lstStyle/>
        <a:p>
          <a:pPr algn="ctr" rtl="1"/>
          <a:r>
            <a:rPr lang="ar-EG" sz="2000"/>
            <a:t>خرسانة</a:t>
          </a:r>
          <a:r>
            <a:rPr lang="ar-EG" sz="2000" baseline="0"/>
            <a:t> عادية</a:t>
          </a:r>
          <a:endParaRPr lang="ar-EG" sz="2000"/>
        </a:p>
      </xdr:txBody>
    </xdr:sp>
    <xdr:clientData/>
  </xdr:twoCellAnchor>
  <xdr:twoCellAnchor>
    <xdr:from>
      <xdr:col>9</xdr:col>
      <xdr:colOff>9525</xdr:colOff>
      <xdr:row>6</xdr:row>
      <xdr:rowOff>28575</xdr:rowOff>
    </xdr:from>
    <xdr:to>
      <xdr:col>11</xdr:col>
      <xdr:colOff>676275</xdr:colOff>
      <xdr:row>8</xdr:row>
      <xdr:rowOff>9525</xdr:rowOff>
    </xdr:to>
    <xdr:sp macro="" textlink="">
      <xdr:nvSpPr>
        <xdr:cNvPr id="6" name="Rounded Rectangle 5">
          <a:hlinkClick xmlns:r="http://schemas.openxmlformats.org/officeDocument/2006/relationships" r:id="rId3"/>
          <a:extLst>
            <a:ext uri="{FF2B5EF4-FFF2-40B4-BE49-F238E27FC236}">
              <a16:creationId xmlns:a16="http://schemas.microsoft.com/office/drawing/2014/main" id="{00000000-0008-0000-0000-000006000000}"/>
            </a:ext>
          </a:extLst>
        </xdr:cNvPr>
        <xdr:cNvSpPr/>
      </xdr:nvSpPr>
      <xdr:spPr>
        <a:xfrm>
          <a:off x="11227927125" y="752475"/>
          <a:ext cx="2038350" cy="342900"/>
        </a:xfrm>
        <a:prstGeom prst="roundRect">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1" anchor="ctr"/>
        <a:lstStyle/>
        <a:p>
          <a:pPr algn="ctr" rtl="1"/>
          <a:r>
            <a:rPr lang="ar-EG" sz="2000"/>
            <a:t>خرسانة</a:t>
          </a:r>
          <a:r>
            <a:rPr lang="ar-EG" sz="2000" baseline="0"/>
            <a:t> مسلحة</a:t>
          </a:r>
          <a:endParaRPr lang="ar-EG" sz="2000"/>
        </a:p>
      </xdr:txBody>
    </xdr:sp>
    <xdr:clientData/>
  </xdr:twoCellAnchor>
  <xdr:twoCellAnchor>
    <xdr:from>
      <xdr:col>9</xdr:col>
      <xdr:colOff>19050</xdr:colOff>
      <xdr:row>9</xdr:row>
      <xdr:rowOff>161925</xdr:rowOff>
    </xdr:from>
    <xdr:to>
      <xdr:col>12</xdr:col>
      <xdr:colOff>0</xdr:colOff>
      <xdr:row>11</xdr:row>
      <xdr:rowOff>142875</xdr:rowOff>
    </xdr:to>
    <xdr:sp macro="" textlink="">
      <xdr:nvSpPr>
        <xdr:cNvPr id="7" name="Rounded Rectangle 6">
          <a:hlinkClick xmlns:r="http://schemas.openxmlformats.org/officeDocument/2006/relationships" r:id="rId4"/>
          <a:extLst>
            <a:ext uri="{FF2B5EF4-FFF2-40B4-BE49-F238E27FC236}">
              <a16:creationId xmlns:a16="http://schemas.microsoft.com/office/drawing/2014/main" id="{00000000-0008-0000-0000-000007000000}"/>
            </a:ext>
          </a:extLst>
        </xdr:cNvPr>
        <xdr:cNvSpPr/>
      </xdr:nvSpPr>
      <xdr:spPr>
        <a:xfrm>
          <a:off x="11227917600" y="1609725"/>
          <a:ext cx="2038350" cy="342900"/>
        </a:xfrm>
        <a:prstGeom prst="roundRect">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1" anchor="ctr"/>
        <a:lstStyle/>
        <a:p>
          <a:pPr algn="ctr" rtl="1"/>
          <a:r>
            <a:rPr lang="ar-EG" sz="2000"/>
            <a:t>العزل</a:t>
          </a:r>
        </a:p>
      </xdr:txBody>
    </xdr:sp>
    <xdr:clientData/>
  </xdr:twoCellAnchor>
  <xdr:twoCellAnchor>
    <xdr:from>
      <xdr:col>1</xdr:col>
      <xdr:colOff>9525</xdr:colOff>
      <xdr:row>9</xdr:row>
      <xdr:rowOff>133350</xdr:rowOff>
    </xdr:from>
    <xdr:to>
      <xdr:col>3</xdr:col>
      <xdr:colOff>676275</xdr:colOff>
      <xdr:row>11</xdr:row>
      <xdr:rowOff>114300</xdr:rowOff>
    </xdr:to>
    <xdr:sp macro="" textlink="">
      <xdr:nvSpPr>
        <xdr:cNvPr id="9" name="Rounded Rectangle 8">
          <a:hlinkClick xmlns:r="http://schemas.openxmlformats.org/officeDocument/2006/relationships" r:id="rId5"/>
          <a:extLst>
            <a:ext uri="{FF2B5EF4-FFF2-40B4-BE49-F238E27FC236}">
              <a16:creationId xmlns:a16="http://schemas.microsoft.com/office/drawing/2014/main" id="{00000000-0008-0000-0000-000009000000}"/>
            </a:ext>
          </a:extLst>
        </xdr:cNvPr>
        <xdr:cNvSpPr/>
      </xdr:nvSpPr>
      <xdr:spPr>
        <a:xfrm>
          <a:off x="11233413525" y="1581150"/>
          <a:ext cx="2038350" cy="342900"/>
        </a:xfrm>
        <a:prstGeom prst="roundRect">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1" anchor="ctr"/>
        <a:lstStyle/>
        <a:p>
          <a:pPr algn="ctr" rtl="1"/>
          <a:r>
            <a:rPr lang="ar-EG" sz="2000"/>
            <a:t>البياض</a:t>
          </a:r>
        </a:p>
      </xdr:txBody>
    </xdr:sp>
    <xdr:clientData/>
  </xdr:twoCellAnchor>
  <xdr:twoCellAnchor>
    <xdr:from>
      <xdr:col>4</xdr:col>
      <xdr:colOff>657225</xdr:colOff>
      <xdr:row>9</xdr:row>
      <xdr:rowOff>123825</xdr:rowOff>
    </xdr:from>
    <xdr:to>
      <xdr:col>7</xdr:col>
      <xdr:colOff>638175</xdr:colOff>
      <xdr:row>11</xdr:row>
      <xdr:rowOff>104775</xdr:rowOff>
    </xdr:to>
    <xdr:sp macro="" textlink="">
      <xdr:nvSpPr>
        <xdr:cNvPr id="10" name="Rounded Rectangle 9">
          <a:hlinkClick xmlns:r="http://schemas.openxmlformats.org/officeDocument/2006/relationships" r:id="rId6"/>
          <a:extLst>
            <a:ext uri="{FF2B5EF4-FFF2-40B4-BE49-F238E27FC236}">
              <a16:creationId xmlns:a16="http://schemas.microsoft.com/office/drawing/2014/main" id="{00000000-0008-0000-0000-00000A000000}"/>
            </a:ext>
          </a:extLst>
        </xdr:cNvPr>
        <xdr:cNvSpPr/>
      </xdr:nvSpPr>
      <xdr:spPr>
        <a:xfrm>
          <a:off x="11230708425" y="1571625"/>
          <a:ext cx="2038350" cy="342900"/>
        </a:xfrm>
        <a:prstGeom prst="roundRect">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1" anchor="ctr"/>
        <a:lstStyle/>
        <a:p>
          <a:pPr algn="ctr" rtl="1"/>
          <a:r>
            <a:rPr lang="ar-EG" sz="2000"/>
            <a:t>المبانى</a:t>
          </a:r>
        </a:p>
      </xdr:txBody>
    </xdr:sp>
    <xdr:clientData/>
  </xdr:twoCellAnchor>
  <xdr:twoCellAnchor>
    <xdr:from>
      <xdr:col>1</xdr:col>
      <xdr:colOff>0</xdr:colOff>
      <xdr:row>13</xdr:row>
      <xdr:rowOff>123825</xdr:rowOff>
    </xdr:from>
    <xdr:to>
      <xdr:col>3</xdr:col>
      <xdr:colOff>666750</xdr:colOff>
      <xdr:row>15</xdr:row>
      <xdr:rowOff>104775</xdr:rowOff>
    </xdr:to>
    <xdr:sp macro="" textlink="">
      <xdr:nvSpPr>
        <xdr:cNvPr id="11" name="Rounded Rectangle 10">
          <a:hlinkClick xmlns:r="http://schemas.openxmlformats.org/officeDocument/2006/relationships" r:id="rId7"/>
          <a:extLst>
            <a:ext uri="{FF2B5EF4-FFF2-40B4-BE49-F238E27FC236}">
              <a16:creationId xmlns:a16="http://schemas.microsoft.com/office/drawing/2014/main" id="{00000000-0008-0000-0000-00000B000000}"/>
            </a:ext>
          </a:extLst>
        </xdr:cNvPr>
        <xdr:cNvSpPr/>
      </xdr:nvSpPr>
      <xdr:spPr>
        <a:xfrm>
          <a:off x="11233423050" y="2476500"/>
          <a:ext cx="2038350" cy="342900"/>
        </a:xfrm>
        <a:prstGeom prst="roundRect">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1" anchor="ctr"/>
        <a:lstStyle/>
        <a:p>
          <a:pPr algn="ctr" rtl="1"/>
          <a:r>
            <a:rPr lang="ar-EG" sz="2000"/>
            <a:t>السيراميك</a:t>
          </a:r>
        </a:p>
      </xdr:txBody>
    </xdr:sp>
    <xdr:clientData/>
  </xdr:twoCellAnchor>
  <xdr:twoCellAnchor>
    <xdr:from>
      <xdr:col>4</xdr:col>
      <xdr:colOff>666750</xdr:colOff>
      <xdr:row>13</xdr:row>
      <xdr:rowOff>133350</xdr:rowOff>
    </xdr:from>
    <xdr:to>
      <xdr:col>7</xdr:col>
      <xdr:colOff>647700</xdr:colOff>
      <xdr:row>15</xdr:row>
      <xdr:rowOff>114300</xdr:rowOff>
    </xdr:to>
    <xdr:sp macro="" textlink="">
      <xdr:nvSpPr>
        <xdr:cNvPr id="12" name="Rounded Rectangle 11">
          <a:hlinkClick xmlns:r="http://schemas.openxmlformats.org/officeDocument/2006/relationships" r:id="rId8"/>
          <a:extLst>
            <a:ext uri="{FF2B5EF4-FFF2-40B4-BE49-F238E27FC236}">
              <a16:creationId xmlns:a16="http://schemas.microsoft.com/office/drawing/2014/main" id="{00000000-0008-0000-0000-00000C000000}"/>
            </a:ext>
          </a:extLst>
        </xdr:cNvPr>
        <xdr:cNvSpPr/>
      </xdr:nvSpPr>
      <xdr:spPr>
        <a:xfrm>
          <a:off x="11230698900" y="2486025"/>
          <a:ext cx="2038350" cy="342900"/>
        </a:xfrm>
        <a:prstGeom prst="roundRect">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1" anchor="ctr"/>
        <a:lstStyle/>
        <a:p>
          <a:pPr algn="ctr" rtl="1"/>
          <a:r>
            <a:rPr lang="ar-EG" sz="2000"/>
            <a:t>الرخام</a:t>
          </a:r>
        </a:p>
      </xdr:txBody>
    </xdr:sp>
    <xdr:clientData/>
  </xdr:twoCellAnchor>
  <xdr:twoCellAnchor>
    <xdr:from>
      <xdr:col>0</xdr:col>
      <xdr:colOff>676275</xdr:colOff>
      <xdr:row>17</xdr:row>
      <xdr:rowOff>161925</xdr:rowOff>
    </xdr:from>
    <xdr:to>
      <xdr:col>3</xdr:col>
      <xdr:colOff>657225</xdr:colOff>
      <xdr:row>19</xdr:row>
      <xdr:rowOff>142875</xdr:rowOff>
    </xdr:to>
    <xdr:sp macro="" textlink="">
      <xdr:nvSpPr>
        <xdr:cNvPr id="13" name="Rounded Rectangle 12">
          <a:hlinkClick xmlns:r="http://schemas.openxmlformats.org/officeDocument/2006/relationships" r:id="rId9"/>
          <a:extLst>
            <a:ext uri="{FF2B5EF4-FFF2-40B4-BE49-F238E27FC236}">
              <a16:creationId xmlns:a16="http://schemas.microsoft.com/office/drawing/2014/main" id="{00000000-0008-0000-0000-00000D000000}"/>
            </a:ext>
          </a:extLst>
        </xdr:cNvPr>
        <xdr:cNvSpPr/>
      </xdr:nvSpPr>
      <xdr:spPr>
        <a:xfrm>
          <a:off x="11233432575" y="3238500"/>
          <a:ext cx="2038350" cy="342900"/>
        </a:xfrm>
        <a:prstGeom prst="roundRect">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1" anchor="ctr"/>
        <a:lstStyle/>
        <a:p>
          <a:pPr algn="ctr" rtl="1"/>
          <a:r>
            <a:rPr lang="ar-EG" sz="2000"/>
            <a:t>الصحى</a:t>
          </a:r>
        </a:p>
      </xdr:txBody>
    </xdr:sp>
    <xdr:clientData/>
  </xdr:twoCellAnchor>
  <xdr:twoCellAnchor>
    <xdr:from>
      <xdr:col>4</xdr:col>
      <xdr:colOff>666750</xdr:colOff>
      <xdr:row>17</xdr:row>
      <xdr:rowOff>161925</xdr:rowOff>
    </xdr:from>
    <xdr:to>
      <xdr:col>7</xdr:col>
      <xdr:colOff>647700</xdr:colOff>
      <xdr:row>19</xdr:row>
      <xdr:rowOff>142875</xdr:rowOff>
    </xdr:to>
    <xdr:sp macro="" textlink="">
      <xdr:nvSpPr>
        <xdr:cNvPr id="14" name="Rounded Rectangle 13">
          <a:hlinkClick xmlns:r="http://schemas.openxmlformats.org/officeDocument/2006/relationships" r:id="rId10"/>
          <a:extLst>
            <a:ext uri="{FF2B5EF4-FFF2-40B4-BE49-F238E27FC236}">
              <a16:creationId xmlns:a16="http://schemas.microsoft.com/office/drawing/2014/main" id="{00000000-0008-0000-0000-00000E000000}"/>
            </a:ext>
          </a:extLst>
        </xdr:cNvPr>
        <xdr:cNvSpPr/>
      </xdr:nvSpPr>
      <xdr:spPr>
        <a:xfrm>
          <a:off x="11230698900" y="3057525"/>
          <a:ext cx="2038350" cy="342900"/>
        </a:xfrm>
        <a:prstGeom prst="roundRect">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1" anchor="ctr"/>
        <a:lstStyle/>
        <a:p>
          <a:pPr algn="ctr" rtl="1"/>
          <a:r>
            <a:rPr lang="ar-EG" sz="2000"/>
            <a:t>الكهرباء</a:t>
          </a:r>
        </a:p>
      </xdr:txBody>
    </xdr:sp>
    <xdr:clientData/>
  </xdr:twoCellAnchor>
  <xdr:twoCellAnchor>
    <xdr:from>
      <xdr:col>9</xdr:col>
      <xdr:colOff>28575</xdr:colOff>
      <xdr:row>18</xdr:row>
      <xdr:rowOff>9525</xdr:rowOff>
    </xdr:from>
    <xdr:to>
      <xdr:col>12</xdr:col>
      <xdr:colOff>0</xdr:colOff>
      <xdr:row>19</xdr:row>
      <xdr:rowOff>171450</xdr:rowOff>
    </xdr:to>
    <xdr:sp macro="" textlink="">
      <xdr:nvSpPr>
        <xdr:cNvPr id="15" name="Rounded Rectangle 14">
          <a:hlinkClick xmlns:r="http://schemas.openxmlformats.org/officeDocument/2006/relationships" r:id="rId11"/>
          <a:extLst>
            <a:ext uri="{FF2B5EF4-FFF2-40B4-BE49-F238E27FC236}">
              <a16:creationId xmlns:a16="http://schemas.microsoft.com/office/drawing/2014/main" id="{00000000-0008-0000-0000-00000F000000}"/>
            </a:ext>
          </a:extLst>
        </xdr:cNvPr>
        <xdr:cNvSpPr/>
      </xdr:nvSpPr>
      <xdr:spPr>
        <a:xfrm>
          <a:off x="11227908075" y="3086100"/>
          <a:ext cx="2038350" cy="342900"/>
        </a:xfrm>
        <a:prstGeom prst="roundRect">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1" anchor="ctr"/>
        <a:lstStyle/>
        <a:p>
          <a:pPr algn="ctr" rtl="1"/>
          <a:r>
            <a:rPr lang="ar-EG" sz="2000"/>
            <a:t>النجارة</a:t>
          </a:r>
        </a:p>
      </xdr:txBody>
    </xdr:sp>
    <xdr:clientData/>
  </xdr:twoCellAnchor>
  <xdr:twoCellAnchor>
    <xdr:from>
      <xdr:col>9</xdr:col>
      <xdr:colOff>38100</xdr:colOff>
      <xdr:row>14</xdr:row>
      <xdr:rowOff>9525</xdr:rowOff>
    </xdr:from>
    <xdr:to>
      <xdr:col>12</xdr:col>
      <xdr:colOff>0</xdr:colOff>
      <xdr:row>15</xdr:row>
      <xdr:rowOff>171450</xdr:rowOff>
    </xdr:to>
    <xdr:sp macro="" textlink="">
      <xdr:nvSpPr>
        <xdr:cNvPr id="16" name="Rounded Rectangle 15">
          <a:hlinkClick xmlns:r="http://schemas.openxmlformats.org/officeDocument/2006/relationships" r:id="rId12"/>
          <a:extLst>
            <a:ext uri="{FF2B5EF4-FFF2-40B4-BE49-F238E27FC236}">
              <a16:creationId xmlns:a16="http://schemas.microsoft.com/office/drawing/2014/main" id="{00000000-0008-0000-0000-000010000000}"/>
            </a:ext>
          </a:extLst>
        </xdr:cNvPr>
        <xdr:cNvSpPr/>
      </xdr:nvSpPr>
      <xdr:spPr>
        <a:xfrm>
          <a:off x="11227898550" y="2362200"/>
          <a:ext cx="2038350" cy="342900"/>
        </a:xfrm>
        <a:prstGeom prst="roundRect">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1" anchor="ctr"/>
        <a:lstStyle/>
        <a:p>
          <a:pPr algn="ctr" rtl="1"/>
          <a:r>
            <a:rPr lang="ar-EG" sz="2000"/>
            <a:t>الدهانات</a:t>
          </a:r>
          <a:r>
            <a:rPr lang="ar-EG" sz="2000" baseline="0"/>
            <a:t> الداخلية</a:t>
          </a:r>
          <a:endParaRPr lang="ar-EG" sz="2000"/>
        </a:p>
      </xdr:txBody>
    </xdr:sp>
    <xdr:clientData/>
  </xdr:twoCellAnchor>
  <xdr:twoCellAnchor>
    <xdr:from>
      <xdr:col>4</xdr:col>
      <xdr:colOff>666750</xdr:colOff>
      <xdr:row>21</xdr:row>
      <xdr:rowOff>142875</xdr:rowOff>
    </xdr:from>
    <xdr:to>
      <xdr:col>7</xdr:col>
      <xdr:colOff>647700</xdr:colOff>
      <xdr:row>23</xdr:row>
      <xdr:rowOff>123825</xdr:rowOff>
    </xdr:to>
    <xdr:sp macro="" textlink="">
      <xdr:nvSpPr>
        <xdr:cNvPr id="17" name="Rounded Rectangle 16">
          <a:hlinkClick xmlns:r="http://schemas.openxmlformats.org/officeDocument/2006/relationships" r:id="rId13"/>
          <a:extLst>
            <a:ext uri="{FF2B5EF4-FFF2-40B4-BE49-F238E27FC236}">
              <a16:creationId xmlns:a16="http://schemas.microsoft.com/office/drawing/2014/main" id="{00000000-0008-0000-0000-000011000000}"/>
            </a:ext>
          </a:extLst>
        </xdr:cNvPr>
        <xdr:cNvSpPr/>
      </xdr:nvSpPr>
      <xdr:spPr>
        <a:xfrm>
          <a:off x="11230698900" y="3762375"/>
          <a:ext cx="2038350" cy="342900"/>
        </a:xfrm>
        <a:prstGeom prst="roundRect">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1" anchor="ctr"/>
        <a:lstStyle/>
        <a:p>
          <a:pPr algn="ctr" rtl="1"/>
          <a:r>
            <a:rPr lang="ar-EG" sz="2000"/>
            <a:t>القرميد</a:t>
          </a:r>
        </a:p>
      </xdr:txBody>
    </xdr:sp>
    <xdr:clientData/>
  </xdr:twoCellAnchor>
  <xdr:twoCellAnchor>
    <xdr:from>
      <xdr:col>3</xdr:col>
      <xdr:colOff>243418</xdr:colOff>
      <xdr:row>2</xdr:row>
      <xdr:rowOff>105833</xdr:rowOff>
    </xdr:from>
    <xdr:to>
      <xdr:col>10</xdr:col>
      <xdr:colOff>201084</xdr:colOff>
      <xdr:row>5</xdr:row>
      <xdr:rowOff>105832</xdr:rowOff>
    </xdr:to>
    <xdr:sp macro="" textlink="">
      <xdr:nvSpPr>
        <xdr:cNvPr id="18" name="Rounded Rectangle 17">
          <a:extLst>
            <a:ext uri="{FF2B5EF4-FFF2-40B4-BE49-F238E27FC236}">
              <a16:creationId xmlns:a16="http://schemas.microsoft.com/office/drawing/2014/main" id="{00000000-0008-0000-0000-000012000000}"/>
            </a:ext>
          </a:extLst>
        </xdr:cNvPr>
        <xdr:cNvSpPr/>
      </xdr:nvSpPr>
      <xdr:spPr>
        <a:xfrm>
          <a:off x="11263746416" y="465666"/>
          <a:ext cx="4773083" cy="539749"/>
        </a:xfrm>
        <a:prstGeom prst="round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1" anchor="ctr"/>
        <a:lstStyle/>
        <a:p>
          <a:pPr algn="ctr" rtl="1"/>
          <a:r>
            <a:rPr lang="ar-EG" sz="3600"/>
            <a:t>تحليل</a:t>
          </a:r>
          <a:r>
            <a:rPr lang="ar-EG" sz="3600" baseline="0"/>
            <a:t> التكلفة </a:t>
          </a:r>
          <a:endParaRPr lang="ar-EG" sz="3600"/>
        </a:p>
      </xdr:txBody>
    </xdr:sp>
    <xdr:clientData/>
  </xdr:twoCellAnchor>
  <xdr:twoCellAnchor>
    <xdr:from>
      <xdr:col>12</xdr:col>
      <xdr:colOff>380999</xdr:colOff>
      <xdr:row>5</xdr:row>
      <xdr:rowOff>179917</xdr:rowOff>
    </xdr:from>
    <xdr:to>
      <xdr:col>14</xdr:col>
      <xdr:colOff>275166</xdr:colOff>
      <xdr:row>13</xdr:row>
      <xdr:rowOff>63500</xdr:rowOff>
    </xdr:to>
    <xdr:sp macro="" textlink="">
      <xdr:nvSpPr>
        <xdr:cNvPr id="3" name="Oval 2">
          <a:hlinkClick xmlns:r="http://schemas.openxmlformats.org/officeDocument/2006/relationships" r:id="rId14"/>
          <a:extLst>
            <a:ext uri="{FF2B5EF4-FFF2-40B4-BE49-F238E27FC236}">
              <a16:creationId xmlns:a16="http://schemas.microsoft.com/office/drawing/2014/main" id="{00000000-0008-0000-0000-000003000000}"/>
            </a:ext>
          </a:extLst>
        </xdr:cNvPr>
        <xdr:cNvSpPr/>
      </xdr:nvSpPr>
      <xdr:spPr>
        <a:xfrm>
          <a:off x="11260920668" y="719667"/>
          <a:ext cx="1270000" cy="1418166"/>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1" anchor="ctr"/>
        <a:lstStyle/>
        <a:p>
          <a:pPr algn="ctr" rtl="1"/>
          <a:r>
            <a:rPr lang="ar-EG" sz="2000"/>
            <a:t>اسعار</a:t>
          </a:r>
          <a:r>
            <a:rPr lang="ar-EG" sz="2000" baseline="0"/>
            <a:t> الخامات</a:t>
          </a:r>
          <a:endParaRPr lang="ar-EG" sz="2000"/>
        </a:p>
      </xdr:txBody>
    </xdr:sp>
    <xdr:clientData/>
  </xdr:twoCellAnchor>
  <xdr:twoCellAnchor>
    <xdr:from>
      <xdr:col>12</xdr:col>
      <xdr:colOff>222250</xdr:colOff>
      <xdr:row>14</xdr:row>
      <xdr:rowOff>169333</xdr:rowOff>
    </xdr:from>
    <xdr:to>
      <xdr:col>14</xdr:col>
      <xdr:colOff>381001</xdr:colOff>
      <xdr:row>22</xdr:row>
      <xdr:rowOff>148166</xdr:rowOff>
    </xdr:to>
    <xdr:sp macro="" textlink="">
      <xdr:nvSpPr>
        <xdr:cNvPr id="20" name="Oval 19">
          <a:hlinkClick xmlns:r="http://schemas.openxmlformats.org/officeDocument/2006/relationships" r:id="rId15"/>
          <a:extLst>
            <a:ext uri="{FF2B5EF4-FFF2-40B4-BE49-F238E27FC236}">
              <a16:creationId xmlns:a16="http://schemas.microsoft.com/office/drawing/2014/main" id="{00000000-0008-0000-0000-000014000000}"/>
            </a:ext>
          </a:extLst>
        </xdr:cNvPr>
        <xdr:cNvSpPr/>
      </xdr:nvSpPr>
      <xdr:spPr>
        <a:xfrm>
          <a:off x="11260814833" y="2423583"/>
          <a:ext cx="1534584" cy="1418166"/>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1" anchor="ctr"/>
        <a:lstStyle/>
        <a:p>
          <a:pPr algn="ctr" rtl="1"/>
          <a:r>
            <a:rPr lang="ar-EG" sz="2000"/>
            <a:t>اسعار المصنعيات</a:t>
          </a:r>
        </a:p>
      </xdr:txBody>
    </xdr:sp>
    <xdr:clientData/>
  </xdr:twoCellAnchor>
  <xdr:twoCellAnchor>
    <xdr:from>
      <xdr:col>14</xdr:col>
      <xdr:colOff>465667</xdr:colOff>
      <xdr:row>7</xdr:row>
      <xdr:rowOff>63500</xdr:rowOff>
    </xdr:from>
    <xdr:to>
      <xdr:col>16</xdr:col>
      <xdr:colOff>592667</xdr:colOff>
      <xdr:row>17</xdr:row>
      <xdr:rowOff>0</xdr:rowOff>
    </xdr:to>
    <xdr:sp macro="" textlink="">
      <xdr:nvSpPr>
        <xdr:cNvPr id="5" name="Smiley Face 4">
          <a:hlinkClick xmlns:r="http://schemas.openxmlformats.org/officeDocument/2006/relationships" r:id="rId16"/>
          <a:extLst>
            <a:ext uri="{FF2B5EF4-FFF2-40B4-BE49-F238E27FC236}">
              <a16:creationId xmlns:a16="http://schemas.microsoft.com/office/drawing/2014/main" id="{00000000-0008-0000-0000-000005000000}"/>
            </a:ext>
          </a:extLst>
        </xdr:cNvPr>
        <xdr:cNvSpPr/>
      </xdr:nvSpPr>
      <xdr:spPr>
        <a:xfrm>
          <a:off x="11259227333" y="1058333"/>
          <a:ext cx="1502834" cy="1735667"/>
        </a:xfrm>
        <a:prstGeom prst="smileyFac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1" anchor="ctr"/>
        <a:lstStyle/>
        <a:p>
          <a:pPr algn="ctr" rtl="1"/>
          <a:r>
            <a:rPr lang="ar-EG" sz="2000"/>
            <a:t>    اليوميات</a:t>
          </a:r>
        </a:p>
      </xdr:txBody>
    </xdr:sp>
    <xdr:clientData/>
  </xdr:twoCellAnchor>
  <xdr:twoCellAnchor>
    <xdr:from>
      <xdr:col>9</xdr:col>
      <xdr:colOff>0</xdr:colOff>
      <xdr:row>22</xdr:row>
      <xdr:rowOff>10583</xdr:rowOff>
    </xdr:from>
    <xdr:to>
      <xdr:col>11</xdr:col>
      <xdr:colOff>402167</xdr:colOff>
      <xdr:row>28</xdr:row>
      <xdr:rowOff>58165</xdr:rowOff>
    </xdr:to>
    <xdr:sp macro="" textlink="">
      <xdr:nvSpPr>
        <xdr:cNvPr id="8" name="Bevel 7">
          <a:hlinkClick xmlns:r="http://schemas.openxmlformats.org/officeDocument/2006/relationships" r:id="rId17"/>
          <a:extLst>
            <a:ext uri="{FF2B5EF4-FFF2-40B4-BE49-F238E27FC236}">
              <a16:creationId xmlns:a16="http://schemas.microsoft.com/office/drawing/2014/main" id="{00000000-0008-0000-0000-000008000000}"/>
            </a:ext>
          </a:extLst>
        </xdr:cNvPr>
        <xdr:cNvSpPr/>
      </xdr:nvSpPr>
      <xdr:spPr>
        <a:xfrm>
          <a:off x="11262857417" y="4064000"/>
          <a:ext cx="1778000" cy="1127082"/>
        </a:xfrm>
        <a:prstGeom prst="bevel">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1" anchor="t"/>
        <a:lstStyle/>
        <a:p>
          <a:pPr algn="ctr" rtl="1"/>
          <a:r>
            <a:rPr lang="en-US" sz="2400"/>
            <a:t>cost estiment</a:t>
          </a:r>
          <a:endParaRPr lang="ar-EG"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xdr:row>
      <xdr:rowOff>0</xdr:rowOff>
    </xdr:from>
    <xdr:to>
      <xdr:col>2</xdr:col>
      <xdr:colOff>3333750</xdr:colOff>
      <xdr:row>1</xdr:row>
      <xdr:rowOff>571500</xdr:rowOff>
    </xdr:to>
    <xdr:sp macro="" textlink="">
      <xdr:nvSpPr>
        <xdr:cNvPr id="3" name="Rounded Rectangle 2">
          <a:hlinkClick xmlns:r="http://schemas.openxmlformats.org/officeDocument/2006/relationships" r:id="rId1"/>
          <a:extLst>
            <a:ext uri="{FF2B5EF4-FFF2-40B4-BE49-F238E27FC236}">
              <a16:creationId xmlns:a16="http://schemas.microsoft.com/office/drawing/2014/main" id="{00000000-0008-0000-0200-000003000000}"/>
            </a:ext>
          </a:extLst>
        </xdr:cNvPr>
        <xdr:cNvSpPr/>
      </xdr:nvSpPr>
      <xdr:spPr>
        <a:xfrm>
          <a:off x="11243443350" y="552450"/>
          <a:ext cx="3333750" cy="571500"/>
        </a:xfrm>
        <a:prstGeom prst="round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1" anchor="ctr"/>
        <a:lstStyle/>
        <a:p>
          <a:pPr algn="ctr" rtl="1"/>
          <a:r>
            <a:rPr lang="ar-EG" sz="2800"/>
            <a:t>اسعار الخرسانات</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685800</xdr:colOff>
      <xdr:row>2</xdr:row>
      <xdr:rowOff>171450</xdr:rowOff>
    </xdr:from>
    <xdr:to>
      <xdr:col>2</xdr:col>
      <xdr:colOff>4019550</xdr:colOff>
      <xdr:row>4</xdr:row>
      <xdr:rowOff>0</xdr:rowOff>
    </xdr:to>
    <xdr:sp macro="" textlink="">
      <xdr:nvSpPr>
        <xdr:cNvPr id="3" name="Rounded Rectangle 2">
          <a:hlinkClick xmlns:r="http://schemas.openxmlformats.org/officeDocument/2006/relationships" r:id="rId1"/>
          <a:extLst>
            <a:ext uri="{FF2B5EF4-FFF2-40B4-BE49-F238E27FC236}">
              <a16:creationId xmlns:a16="http://schemas.microsoft.com/office/drawing/2014/main" id="{00000000-0008-0000-0300-000003000000}"/>
            </a:ext>
          </a:extLst>
        </xdr:cNvPr>
        <xdr:cNvSpPr/>
      </xdr:nvSpPr>
      <xdr:spPr>
        <a:xfrm>
          <a:off x="11246338950" y="876300"/>
          <a:ext cx="3333750" cy="971550"/>
        </a:xfrm>
        <a:prstGeom prst="round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1" anchor="ctr"/>
        <a:lstStyle/>
        <a:p>
          <a:pPr algn="ctr" rtl="1"/>
          <a:r>
            <a:rPr lang="ar-EG" sz="2800"/>
            <a:t>اسعار الخرسانات</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266700</xdr:colOff>
      <xdr:row>52</xdr:row>
      <xdr:rowOff>95250</xdr:rowOff>
    </xdr:from>
    <xdr:to>
      <xdr:col>5</xdr:col>
      <xdr:colOff>309562</xdr:colOff>
      <xdr:row>54</xdr:row>
      <xdr:rowOff>23813</xdr:rowOff>
    </xdr:to>
    <xdr:sp macro="" textlink="">
      <xdr:nvSpPr>
        <xdr:cNvPr id="3" name="Oval 2">
          <a:extLst>
            <a:ext uri="{FF2B5EF4-FFF2-40B4-BE49-F238E27FC236}">
              <a16:creationId xmlns:a16="http://schemas.microsoft.com/office/drawing/2014/main" id="{00000000-0008-0000-0500-000003000000}"/>
            </a:ext>
          </a:extLst>
        </xdr:cNvPr>
        <xdr:cNvSpPr/>
      </xdr:nvSpPr>
      <xdr:spPr>
        <a:xfrm>
          <a:off x="11551019888" y="19183350"/>
          <a:ext cx="1890712" cy="804863"/>
        </a:xfrm>
        <a:prstGeom prst="ellipse">
          <a:avLst/>
        </a:prstGeom>
      </xdr:spPr>
      <xdr:style>
        <a:lnRef idx="0">
          <a:schemeClr val="accent2"/>
        </a:lnRef>
        <a:fillRef idx="3">
          <a:schemeClr val="accent2"/>
        </a:fillRef>
        <a:effectRef idx="3">
          <a:schemeClr val="accent2"/>
        </a:effectRef>
        <a:fontRef idx="minor">
          <a:schemeClr val="lt1"/>
        </a:fontRef>
      </xdr:style>
      <xdr:txBody>
        <a:bodyPr rtlCol="1" anchor="ctr"/>
        <a:lstStyle/>
        <a:p>
          <a:pPr algn="r" rtl="1"/>
          <a:r>
            <a:rPr lang="ar-EG" sz="2800"/>
            <a:t>   25م2</a:t>
          </a:r>
        </a:p>
      </xdr:txBody>
    </xdr:sp>
    <xdr:clientData/>
  </xdr:twoCellAnchor>
  <xdr:twoCellAnchor>
    <xdr:from>
      <xdr:col>6</xdr:col>
      <xdr:colOff>142875</xdr:colOff>
      <xdr:row>50</xdr:row>
      <xdr:rowOff>209551</xdr:rowOff>
    </xdr:from>
    <xdr:to>
      <xdr:col>9</xdr:col>
      <xdr:colOff>0</xdr:colOff>
      <xdr:row>52</xdr:row>
      <xdr:rowOff>114301</xdr:rowOff>
    </xdr:to>
    <xdr:sp macro="" textlink="">
      <xdr:nvSpPr>
        <xdr:cNvPr id="4" name="Oval 3">
          <a:extLst>
            <a:ext uri="{FF2B5EF4-FFF2-40B4-BE49-F238E27FC236}">
              <a16:creationId xmlns:a16="http://schemas.microsoft.com/office/drawing/2014/main" id="{00000000-0008-0000-0500-000004000000}"/>
            </a:ext>
          </a:extLst>
        </xdr:cNvPr>
        <xdr:cNvSpPr/>
      </xdr:nvSpPr>
      <xdr:spPr>
        <a:xfrm>
          <a:off x="11546890800" y="18421351"/>
          <a:ext cx="3305175" cy="781050"/>
        </a:xfrm>
        <a:prstGeom prst="ellipse">
          <a:avLst/>
        </a:prstGeom>
      </xdr:spPr>
      <xdr:style>
        <a:lnRef idx="0">
          <a:schemeClr val="accent2"/>
        </a:lnRef>
        <a:fillRef idx="3">
          <a:schemeClr val="accent2"/>
        </a:fillRef>
        <a:effectRef idx="3">
          <a:schemeClr val="accent2"/>
        </a:effectRef>
        <a:fontRef idx="minor">
          <a:schemeClr val="lt1"/>
        </a:fontRef>
      </xdr:style>
      <xdr:txBody>
        <a:bodyPr rtlCol="1" anchor="ctr"/>
        <a:lstStyle/>
        <a:p>
          <a:pPr algn="r" rtl="1"/>
          <a:r>
            <a:rPr lang="ar-EG" sz="1100"/>
            <a:t> </a:t>
          </a:r>
        </a:p>
      </xdr:txBody>
    </xdr:sp>
    <xdr:clientData/>
  </xdr:twoCellAnchor>
  <xdr:twoCellAnchor>
    <xdr:from>
      <xdr:col>6</xdr:col>
      <xdr:colOff>71436</xdr:colOff>
      <xdr:row>54</xdr:row>
      <xdr:rowOff>142874</xdr:rowOff>
    </xdr:from>
    <xdr:to>
      <xdr:col>9</xdr:col>
      <xdr:colOff>71437</xdr:colOff>
      <xdr:row>55</xdr:row>
      <xdr:rowOff>404812</xdr:rowOff>
    </xdr:to>
    <xdr:sp macro="" textlink="">
      <xdr:nvSpPr>
        <xdr:cNvPr id="5" name="Oval 4">
          <a:extLst>
            <a:ext uri="{FF2B5EF4-FFF2-40B4-BE49-F238E27FC236}">
              <a16:creationId xmlns:a16="http://schemas.microsoft.com/office/drawing/2014/main" id="{00000000-0008-0000-0500-000005000000}"/>
            </a:ext>
          </a:extLst>
        </xdr:cNvPr>
        <xdr:cNvSpPr/>
      </xdr:nvSpPr>
      <xdr:spPr>
        <a:xfrm>
          <a:off x="11312890126" y="19954874"/>
          <a:ext cx="3405188" cy="690563"/>
        </a:xfrm>
        <a:prstGeom prst="ellipse">
          <a:avLst/>
        </a:prstGeom>
      </xdr:spPr>
      <xdr:style>
        <a:lnRef idx="0">
          <a:schemeClr val="accent2"/>
        </a:lnRef>
        <a:fillRef idx="3">
          <a:schemeClr val="accent2"/>
        </a:fillRef>
        <a:effectRef idx="3">
          <a:schemeClr val="accent2"/>
        </a:effectRef>
        <a:fontRef idx="minor">
          <a:schemeClr val="lt1"/>
        </a:fontRef>
      </xdr:style>
      <xdr:txBody>
        <a:bodyPr rtlCol="1" anchor="ctr"/>
        <a:lstStyle/>
        <a:p>
          <a:pPr algn="r" rtl="1"/>
          <a:r>
            <a:rPr lang="ar-EG" sz="1100"/>
            <a:t> </a:t>
          </a:r>
        </a:p>
      </xdr:txBody>
    </xdr:sp>
    <xdr:clientData/>
  </xdr:twoCellAnchor>
  <xdr:oneCellAnchor>
    <xdr:from>
      <xdr:col>6</xdr:col>
      <xdr:colOff>266700</xdr:colOff>
      <xdr:row>50</xdr:row>
      <xdr:rowOff>323850</xdr:rowOff>
    </xdr:from>
    <xdr:ext cx="3733800" cy="564193"/>
    <xdr:sp macro="" textlink="">
      <xdr:nvSpPr>
        <xdr:cNvPr id="6" name="TextBox 5">
          <a:extLst>
            <a:ext uri="{FF2B5EF4-FFF2-40B4-BE49-F238E27FC236}">
              <a16:creationId xmlns:a16="http://schemas.microsoft.com/office/drawing/2014/main" id="{00000000-0008-0000-0500-000006000000}"/>
            </a:ext>
          </a:extLst>
        </xdr:cNvPr>
        <xdr:cNvSpPr txBox="1"/>
      </xdr:nvSpPr>
      <xdr:spPr>
        <a:xfrm>
          <a:off x="11546338350" y="18535650"/>
          <a:ext cx="3733800" cy="564193"/>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1" anchor="t">
          <a:spAutoFit/>
        </a:bodyPr>
        <a:lstStyle/>
        <a:p>
          <a:pPr algn="r" rtl="1"/>
          <a:r>
            <a:rPr lang="ar-EG" sz="3200"/>
            <a:t>      1 م3 رمل</a:t>
          </a:r>
        </a:p>
      </xdr:txBody>
    </xdr:sp>
    <xdr:clientData/>
  </xdr:oneCellAnchor>
  <xdr:oneCellAnchor>
    <xdr:from>
      <xdr:col>6</xdr:col>
      <xdr:colOff>339143</xdr:colOff>
      <xdr:row>54</xdr:row>
      <xdr:rowOff>166688</xdr:rowOff>
    </xdr:from>
    <xdr:ext cx="2899356" cy="623248"/>
    <xdr:sp macro="" textlink="">
      <xdr:nvSpPr>
        <xdr:cNvPr id="8" name="TextBox 7">
          <a:extLst>
            <a:ext uri="{FF2B5EF4-FFF2-40B4-BE49-F238E27FC236}">
              <a16:creationId xmlns:a16="http://schemas.microsoft.com/office/drawing/2014/main" id="{00000000-0008-0000-0500-000008000000}"/>
            </a:ext>
          </a:extLst>
        </xdr:cNvPr>
        <xdr:cNvSpPr txBox="1"/>
      </xdr:nvSpPr>
      <xdr:spPr>
        <a:xfrm>
          <a:off x="11313128251" y="19978688"/>
          <a:ext cx="2899356" cy="623248"/>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1" anchor="t">
          <a:spAutoFit/>
        </a:bodyPr>
        <a:lstStyle/>
        <a:p>
          <a:pPr algn="r" rtl="1"/>
          <a:r>
            <a:rPr lang="ar-EG" sz="3600"/>
            <a:t>350 كجم اسمنت</a:t>
          </a:r>
        </a:p>
      </xdr:txBody>
    </xdr:sp>
    <xdr:clientData/>
  </xdr:oneCellAnchor>
  <xdr:twoCellAnchor>
    <xdr:from>
      <xdr:col>5</xdr:col>
      <xdr:colOff>32672</xdr:colOff>
      <xdr:row>51</xdr:row>
      <xdr:rowOff>19050</xdr:rowOff>
    </xdr:from>
    <xdr:to>
      <xdr:col>6</xdr:col>
      <xdr:colOff>57149</xdr:colOff>
      <xdr:row>52</xdr:row>
      <xdr:rowOff>213119</xdr:rowOff>
    </xdr:to>
    <xdr:cxnSp macro="">
      <xdr:nvCxnSpPr>
        <xdr:cNvPr id="10" name="Straight Arrow Connector 9">
          <a:extLst>
            <a:ext uri="{FF2B5EF4-FFF2-40B4-BE49-F238E27FC236}">
              <a16:creationId xmlns:a16="http://schemas.microsoft.com/office/drawing/2014/main" id="{00000000-0008-0000-0500-00000A000000}"/>
            </a:ext>
          </a:extLst>
        </xdr:cNvPr>
        <xdr:cNvCxnSpPr>
          <a:stCxn id="3" idx="1"/>
        </xdr:cNvCxnSpPr>
      </xdr:nvCxnSpPr>
      <xdr:spPr>
        <a:xfrm rot="16200000" flipV="1">
          <a:off x="11550473130" y="18477571"/>
          <a:ext cx="632219" cy="1015077"/>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32673</xdr:colOff>
      <xdr:row>53</xdr:row>
      <xdr:rowOff>344095</xdr:rowOff>
    </xdr:from>
    <xdr:to>
      <xdr:col>6</xdr:col>
      <xdr:colOff>57150</xdr:colOff>
      <xdr:row>55</xdr:row>
      <xdr:rowOff>38101</xdr:rowOff>
    </xdr:to>
    <xdr:cxnSp macro="">
      <xdr:nvCxnSpPr>
        <xdr:cNvPr id="12" name="Straight Arrow Connector 11">
          <a:extLst>
            <a:ext uri="{FF2B5EF4-FFF2-40B4-BE49-F238E27FC236}">
              <a16:creationId xmlns:a16="http://schemas.microsoft.com/office/drawing/2014/main" id="{00000000-0008-0000-0500-00000C000000}"/>
            </a:ext>
          </a:extLst>
        </xdr:cNvPr>
        <xdr:cNvCxnSpPr>
          <a:stCxn id="3" idx="3"/>
        </xdr:cNvCxnSpPr>
      </xdr:nvCxnSpPr>
      <xdr:spPr>
        <a:xfrm rot="5400000">
          <a:off x="11550504086" y="19647959"/>
          <a:ext cx="570306" cy="1015077"/>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1162050</xdr:colOff>
      <xdr:row>60</xdr:row>
      <xdr:rowOff>285750</xdr:rowOff>
    </xdr:from>
    <xdr:to>
      <xdr:col>4</xdr:col>
      <xdr:colOff>1790700</xdr:colOff>
      <xdr:row>62</xdr:row>
      <xdr:rowOff>381000</xdr:rowOff>
    </xdr:to>
    <xdr:sp macro="" textlink="">
      <xdr:nvSpPr>
        <xdr:cNvPr id="15" name="Oval 14">
          <a:extLst>
            <a:ext uri="{FF2B5EF4-FFF2-40B4-BE49-F238E27FC236}">
              <a16:creationId xmlns:a16="http://schemas.microsoft.com/office/drawing/2014/main" id="{00000000-0008-0000-0500-00000F000000}"/>
            </a:ext>
          </a:extLst>
        </xdr:cNvPr>
        <xdr:cNvSpPr/>
      </xdr:nvSpPr>
      <xdr:spPr>
        <a:xfrm>
          <a:off x="11551386600" y="22879050"/>
          <a:ext cx="1924050" cy="971550"/>
        </a:xfrm>
        <a:prstGeom prst="ellipse">
          <a:avLst/>
        </a:prstGeom>
      </xdr:spPr>
      <xdr:style>
        <a:lnRef idx="0">
          <a:schemeClr val="accent2"/>
        </a:lnRef>
        <a:fillRef idx="3">
          <a:schemeClr val="accent2"/>
        </a:fillRef>
        <a:effectRef idx="3">
          <a:schemeClr val="accent2"/>
        </a:effectRef>
        <a:fontRef idx="minor">
          <a:schemeClr val="lt1"/>
        </a:fontRef>
      </xdr:style>
      <xdr:txBody>
        <a:bodyPr rtlCol="1" anchor="ctr"/>
        <a:lstStyle/>
        <a:p>
          <a:pPr algn="r" rtl="1"/>
          <a:r>
            <a:rPr lang="ar-EG" sz="4400"/>
            <a:t>4م3</a:t>
          </a:r>
        </a:p>
      </xdr:txBody>
    </xdr:sp>
    <xdr:clientData/>
  </xdr:twoCellAnchor>
  <xdr:twoCellAnchor>
    <xdr:from>
      <xdr:col>6</xdr:col>
      <xdr:colOff>76200</xdr:colOff>
      <xdr:row>58</xdr:row>
      <xdr:rowOff>400050</xdr:rowOff>
    </xdr:from>
    <xdr:to>
      <xdr:col>8</xdr:col>
      <xdr:colOff>1066800</xdr:colOff>
      <xdr:row>61</xdr:row>
      <xdr:rowOff>76200</xdr:rowOff>
    </xdr:to>
    <xdr:sp macro="" textlink="">
      <xdr:nvSpPr>
        <xdr:cNvPr id="16" name="Oval 15">
          <a:extLst>
            <a:ext uri="{FF2B5EF4-FFF2-40B4-BE49-F238E27FC236}">
              <a16:creationId xmlns:a16="http://schemas.microsoft.com/office/drawing/2014/main" id="{00000000-0008-0000-0500-000010000000}"/>
            </a:ext>
          </a:extLst>
        </xdr:cNvPr>
        <xdr:cNvSpPr/>
      </xdr:nvSpPr>
      <xdr:spPr>
        <a:xfrm>
          <a:off x="11546928900" y="22117050"/>
          <a:ext cx="3333750" cy="990600"/>
        </a:xfrm>
        <a:prstGeom prst="ellipse">
          <a:avLst/>
        </a:prstGeom>
      </xdr:spPr>
      <xdr:style>
        <a:lnRef idx="0">
          <a:schemeClr val="accent2"/>
        </a:lnRef>
        <a:fillRef idx="3">
          <a:schemeClr val="accent2"/>
        </a:fillRef>
        <a:effectRef idx="3">
          <a:schemeClr val="accent2"/>
        </a:effectRef>
        <a:fontRef idx="minor">
          <a:schemeClr val="lt1"/>
        </a:fontRef>
      </xdr:style>
      <xdr:txBody>
        <a:bodyPr rtlCol="1" anchor="ctr"/>
        <a:lstStyle/>
        <a:p>
          <a:pPr algn="r" rtl="1"/>
          <a:r>
            <a:rPr lang="ar-EG" sz="4400"/>
            <a:t>1م3 رمل</a:t>
          </a:r>
        </a:p>
      </xdr:txBody>
    </xdr:sp>
    <xdr:clientData/>
  </xdr:twoCellAnchor>
  <xdr:twoCellAnchor>
    <xdr:from>
      <xdr:col>6</xdr:col>
      <xdr:colOff>133350</xdr:colOff>
      <xdr:row>63</xdr:row>
      <xdr:rowOff>133350</xdr:rowOff>
    </xdr:from>
    <xdr:to>
      <xdr:col>9</xdr:col>
      <xdr:colOff>95250</xdr:colOff>
      <xdr:row>65</xdr:row>
      <xdr:rowOff>114300</xdr:rowOff>
    </xdr:to>
    <xdr:sp macro="" textlink="">
      <xdr:nvSpPr>
        <xdr:cNvPr id="17" name="Oval 16">
          <a:extLst>
            <a:ext uri="{FF2B5EF4-FFF2-40B4-BE49-F238E27FC236}">
              <a16:creationId xmlns:a16="http://schemas.microsoft.com/office/drawing/2014/main" id="{00000000-0008-0000-0500-000011000000}"/>
            </a:ext>
          </a:extLst>
        </xdr:cNvPr>
        <xdr:cNvSpPr/>
      </xdr:nvSpPr>
      <xdr:spPr>
        <a:xfrm>
          <a:off x="11546795550" y="24041100"/>
          <a:ext cx="3409950" cy="857250"/>
        </a:xfrm>
        <a:prstGeom prst="ellipse">
          <a:avLst/>
        </a:prstGeom>
      </xdr:spPr>
      <xdr:style>
        <a:lnRef idx="0">
          <a:schemeClr val="accent2"/>
        </a:lnRef>
        <a:fillRef idx="3">
          <a:schemeClr val="accent2"/>
        </a:fillRef>
        <a:effectRef idx="3">
          <a:schemeClr val="accent2"/>
        </a:effectRef>
        <a:fontRef idx="minor">
          <a:schemeClr val="lt1"/>
        </a:fontRef>
      </xdr:style>
      <xdr:txBody>
        <a:bodyPr rtlCol="1" anchor="ctr"/>
        <a:lstStyle/>
        <a:p>
          <a:pPr algn="r" rtl="1"/>
          <a:r>
            <a:rPr lang="ar-EG" sz="2800"/>
            <a:t>300كجم</a:t>
          </a:r>
          <a:r>
            <a:rPr lang="ar-EG" sz="2800" baseline="0"/>
            <a:t> اسمنت</a:t>
          </a:r>
          <a:endParaRPr lang="ar-EG" sz="2800"/>
        </a:p>
      </xdr:txBody>
    </xdr:sp>
    <xdr:clientData/>
  </xdr:twoCellAnchor>
  <xdr:twoCellAnchor>
    <xdr:from>
      <xdr:col>4</xdr:col>
      <xdr:colOff>1600200</xdr:colOff>
      <xdr:row>59</xdr:row>
      <xdr:rowOff>304800</xdr:rowOff>
    </xdr:from>
    <xdr:to>
      <xdr:col>6</xdr:col>
      <xdr:colOff>38100</xdr:colOff>
      <xdr:row>61</xdr:row>
      <xdr:rowOff>228600</xdr:rowOff>
    </xdr:to>
    <xdr:cxnSp macro="">
      <xdr:nvCxnSpPr>
        <xdr:cNvPr id="20" name="Straight Arrow Connector 19">
          <a:extLst>
            <a:ext uri="{FF2B5EF4-FFF2-40B4-BE49-F238E27FC236}">
              <a16:creationId xmlns:a16="http://schemas.microsoft.com/office/drawing/2014/main" id="{00000000-0008-0000-0500-000014000000}"/>
            </a:ext>
          </a:extLst>
        </xdr:cNvPr>
        <xdr:cNvCxnSpPr/>
      </xdr:nvCxnSpPr>
      <xdr:spPr>
        <a:xfrm rot="10800000">
          <a:off x="11550300750" y="22459950"/>
          <a:ext cx="1276350" cy="8001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1295400</xdr:colOff>
      <xdr:row>62</xdr:row>
      <xdr:rowOff>342900</xdr:rowOff>
    </xdr:from>
    <xdr:to>
      <xdr:col>6</xdr:col>
      <xdr:colOff>19050</xdr:colOff>
      <xdr:row>64</xdr:row>
      <xdr:rowOff>171450</xdr:rowOff>
    </xdr:to>
    <xdr:cxnSp macro="">
      <xdr:nvCxnSpPr>
        <xdr:cNvPr id="22" name="Straight Arrow Connector 21">
          <a:extLst>
            <a:ext uri="{FF2B5EF4-FFF2-40B4-BE49-F238E27FC236}">
              <a16:creationId xmlns:a16="http://schemas.microsoft.com/office/drawing/2014/main" id="{00000000-0008-0000-0500-000016000000}"/>
            </a:ext>
          </a:extLst>
        </xdr:cNvPr>
        <xdr:cNvCxnSpPr/>
      </xdr:nvCxnSpPr>
      <xdr:spPr>
        <a:xfrm rot="10800000" flipV="1">
          <a:off x="11550319800" y="23812500"/>
          <a:ext cx="1562100" cy="7048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381000</xdr:colOff>
      <xdr:row>48</xdr:row>
      <xdr:rowOff>0</xdr:rowOff>
    </xdr:from>
    <xdr:to>
      <xdr:col>14</xdr:col>
      <xdr:colOff>1390650</xdr:colOff>
      <xdr:row>50</xdr:row>
      <xdr:rowOff>133350</xdr:rowOff>
    </xdr:to>
    <xdr:sp macro="" textlink="">
      <xdr:nvSpPr>
        <xdr:cNvPr id="2" name="Down Arrow 1">
          <a:extLst>
            <a:ext uri="{FF2B5EF4-FFF2-40B4-BE49-F238E27FC236}">
              <a16:creationId xmlns:a16="http://schemas.microsoft.com/office/drawing/2014/main" id="{00000000-0008-0000-0500-000002000000}"/>
            </a:ext>
          </a:extLst>
        </xdr:cNvPr>
        <xdr:cNvSpPr/>
      </xdr:nvSpPr>
      <xdr:spPr>
        <a:xfrm>
          <a:off x="11306856038" y="24098250"/>
          <a:ext cx="1009650" cy="1062038"/>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1" anchor="t"/>
        <a:lstStyle/>
        <a:p>
          <a:pPr algn="r" rtl="1"/>
          <a:endParaRPr lang="ar-EG"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23812</xdr:colOff>
      <xdr:row>15</xdr:row>
      <xdr:rowOff>11907</xdr:rowOff>
    </xdr:from>
    <xdr:to>
      <xdr:col>3</xdr:col>
      <xdr:colOff>59532</xdr:colOff>
      <xdr:row>20</xdr:row>
      <xdr:rowOff>11907</xdr:rowOff>
    </xdr:to>
    <xdr:cxnSp macro="">
      <xdr:nvCxnSpPr>
        <xdr:cNvPr id="3" name="Straight Connector 2">
          <a:extLst>
            <a:ext uri="{FF2B5EF4-FFF2-40B4-BE49-F238E27FC236}">
              <a16:creationId xmlns:a16="http://schemas.microsoft.com/office/drawing/2014/main" id="{00000000-0008-0000-0900-000003000000}"/>
            </a:ext>
          </a:extLst>
        </xdr:cNvPr>
        <xdr:cNvCxnSpPr/>
      </xdr:nvCxnSpPr>
      <xdr:spPr>
        <a:xfrm flipV="1">
          <a:off x="11314473656" y="3333751"/>
          <a:ext cx="2202657" cy="1309687"/>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41</xdr:row>
      <xdr:rowOff>0</xdr:rowOff>
    </xdr:from>
    <xdr:to>
      <xdr:col>3</xdr:col>
      <xdr:colOff>35720</xdr:colOff>
      <xdr:row>46</xdr:row>
      <xdr:rowOff>0</xdr:rowOff>
    </xdr:to>
    <xdr:cxnSp macro="">
      <xdr:nvCxnSpPr>
        <xdr:cNvPr id="7" name="Straight Connector 6">
          <a:extLst>
            <a:ext uri="{FF2B5EF4-FFF2-40B4-BE49-F238E27FC236}">
              <a16:creationId xmlns:a16="http://schemas.microsoft.com/office/drawing/2014/main" id="{00000000-0008-0000-0900-000007000000}"/>
            </a:ext>
          </a:extLst>
        </xdr:cNvPr>
        <xdr:cNvCxnSpPr/>
      </xdr:nvCxnSpPr>
      <xdr:spPr>
        <a:xfrm flipV="1">
          <a:off x="11314497468" y="8989219"/>
          <a:ext cx="2202657" cy="1309687"/>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89646</xdr:colOff>
      <xdr:row>5</xdr:row>
      <xdr:rowOff>224118</xdr:rowOff>
    </xdr:from>
    <xdr:to>
      <xdr:col>5</xdr:col>
      <xdr:colOff>1277470</xdr:colOff>
      <xdr:row>8</xdr:row>
      <xdr:rowOff>190499</xdr:rowOff>
    </xdr:to>
    <xdr:sp macro="" textlink="">
      <xdr:nvSpPr>
        <xdr:cNvPr id="2" name="Left Arrow 1">
          <a:extLst>
            <a:ext uri="{FF2B5EF4-FFF2-40B4-BE49-F238E27FC236}">
              <a16:creationId xmlns:a16="http://schemas.microsoft.com/office/drawing/2014/main" id="{00000000-0008-0000-0F00-000002000000}"/>
            </a:ext>
          </a:extLst>
        </xdr:cNvPr>
        <xdr:cNvSpPr/>
      </xdr:nvSpPr>
      <xdr:spPr>
        <a:xfrm>
          <a:off x="11198060647" y="2185147"/>
          <a:ext cx="1187824" cy="739587"/>
        </a:xfrm>
        <a:prstGeom prst="leftArrow">
          <a:avLst/>
        </a:prstGeom>
        <a:solidFill>
          <a:srgbClr val="FAC6F8"/>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1" anchor="t"/>
        <a:lstStyle/>
        <a:p>
          <a:pPr algn="r" rtl="1"/>
          <a:endParaRPr lang="ar-EG" sz="1100"/>
        </a:p>
      </xdr:txBody>
    </xdr:sp>
    <xdr:clientData/>
  </xdr:twoCellAnchor>
  <xdr:twoCellAnchor>
    <xdr:from>
      <xdr:col>5</xdr:col>
      <xdr:colOff>285751</xdr:colOff>
      <xdr:row>12</xdr:row>
      <xdr:rowOff>0</xdr:rowOff>
    </xdr:from>
    <xdr:to>
      <xdr:col>6</xdr:col>
      <xdr:colOff>1187825</xdr:colOff>
      <xdr:row>14</xdr:row>
      <xdr:rowOff>331506</xdr:rowOff>
    </xdr:to>
    <xdr:sp macro="" textlink="">
      <xdr:nvSpPr>
        <xdr:cNvPr id="12" name="Left Arrow 11">
          <a:extLst>
            <a:ext uri="{FF2B5EF4-FFF2-40B4-BE49-F238E27FC236}">
              <a16:creationId xmlns:a16="http://schemas.microsoft.com/office/drawing/2014/main" id="{00000000-0008-0000-0F00-00000C000000}"/>
            </a:ext>
          </a:extLst>
        </xdr:cNvPr>
        <xdr:cNvSpPr/>
      </xdr:nvSpPr>
      <xdr:spPr>
        <a:xfrm>
          <a:off x="11184083175" y="4889500"/>
          <a:ext cx="2251449" cy="1061756"/>
        </a:xfrm>
        <a:prstGeom prst="leftArrow">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1" anchor="t"/>
        <a:lstStyle/>
        <a:p>
          <a:pPr algn="r" rtl="1"/>
          <a:endParaRPr lang="ar-EG" sz="1100"/>
        </a:p>
      </xdr:txBody>
    </xdr:sp>
    <xdr:clientData/>
  </xdr:twoCellAnchor>
  <xdr:twoCellAnchor>
    <xdr:from>
      <xdr:col>5</xdr:col>
      <xdr:colOff>190500</xdr:colOff>
      <xdr:row>16</xdr:row>
      <xdr:rowOff>79375</xdr:rowOff>
    </xdr:from>
    <xdr:to>
      <xdr:col>6</xdr:col>
      <xdr:colOff>1140199</xdr:colOff>
      <xdr:row>19</xdr:row>
      <xdr:rowOff>379131</xdr:rowOff>
    </xdr:to>
    <xdr:sp macro="" textlink="">
      <xdr:nvSpPr>
        <xdr:cNvPr id="14" name="Left Arrow 13">
          <a:extLst>
            <a:ext uri="{FF2B5EF4-FFF2-40B4-BE49-F238E27FC236}">
              <a16:creationId xmlns:a16="http://schemas.microsoft.com/office/drawing/2014/main" id="{00000000-0008-0000-0F00-00000E000000}"/>
            </a:ext>
          </a:extLst>
        </xdr:cNvPr>
        <xdr:cNvSpPr/>
      </xdr:nvSpPr>
      <xdr:spPr>
        <a:xfrm>
          <a:off x="11184130801" y="6365875"/>
          <a:ext cx="2299074" cy="1061756"/>
        </a:xfrm>
        <a:prstGeom prst="leftArrow">
          <a:avLst/>
        </a:prstGeom>
        <a:solidFill>
          <a:srgbClr val="FEF0FD"/>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1" anchor="t"/>
        <a:lstStyle/>
        <a:p>
          <a:pPr algn="r" rtl="1"/>
          <a:endParaRPr lang="ar-EG" sz="1100"/>
        </a:p>
      </xdr:txBody>
    </xdr:sp>
    <xdr:clientData/>
  </xdr:twoCellAnchor>
  <xdr:twoCellAnchor>
    <xdr:from>
      <xdr:col>5</xdr:col>
      <xdr:colOff>365125</xdr:colOff>
      <xdr:row>23</xdr:row>
      <xdr:rowOff>0</xdr:rowOff>
    </xdr:from>
    <xdr:to>
      <xdr:col>6</xdr:col>
      <xdr:colOff>1187824</xdr:colOff>
      <xdr:row>26</xdr:row>
      <xdr:rowOff>45756</xdr:rowOff>
    </xdr:to>
    <xdr:sp macro="" textlink="">
      <xdr:nvSpPr>
        <xdr:cNvPr id="17" name="Left Arrow 16">
          <a:extLst>
            <a:ext uri="{FF2B5EF4-FFF2-40B4-BE49-F238E27FC236}">
              <a16:creationId xmlns:a16="http://schemas.microsoft.com/office/drawing/2014/main" id="{00000000-0008-0000-0F00-000011000000}"/>
            </a:ext>
          </a:extLst>
        </xdr:cNvPr>
        <xdr:cNvSpPr/>
      </xdr:nvSpPr>
      <xdr:spPr>
        <a:xfrm>
          <a:off x="11184083176" y="8477250"/>
          <a:ext cx="2172074" cy="1061756"/>
        </a:xfrm>
        <a:prstGeom prst="leftArrow">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1" anchor="t"/>
        <a:lstStyle/>
        <a:p>
          <a:pPr algn="r" rtl="1"/>
          <a:endParaRPr lang="ar-EG" sz="1100"/>
        </a:p>
      </xdr:txBody>
    </xdr:sp>
    <xdr:clientData/>
  </xdr:twoCellAnchor>
  <xdr:twoCellAnchor>
    <xdr:from>
      <xdr:col>5</xdr:col>
      <xdr:colOff>49344</xdr:colOff>
      <xdr:row>32</xdr:row>
      <xdr:rowOff>275125</xdr:rowOff>
    </xdr:from>
    <xdr:to>
      <xdr:col>7</xdr:col>
      <xdr:colOff>1929</xdr:colOff>
      <xdr:row>33</xdr:row>
      <xdr:rowOff>348943</xdr:rowOff>
    </xdr:to>
    <xdr:sp macro="" textlink="">
      <xdr:nvSpPr>
        <xdr:cNvPr id="18" name="Left Arrow 17">
          <a:extLst>
            <a:ext uri="{FF2B5EF4-FFF2-40B4-BE49-F238E27FC236}">
              <a16:creationId xmlns:a16="http://schemas.microsoft.com/office/drawing/2014/main" id="{00000000-0008-0000-0F00-000012000000}"/>
            </a:ext>
          </a:extLst>
        </xdr:cNvPr>
        <xdr:cNvSpPr/>
      </xdr:nvSpPr>
      <xdr:spPr>
        <a:xfrm rot="20093276">
          <a:off x="11194651196" y="11832125"/>
          <a:ext cx="3048210" cy="534193"/>
        </a:xfrm>
        <a:prstGeom prst="leftArrow">
          <a:avLst/>
        </a:prstGeom>
        <a:solidFill>
          <a:schemeClr val="accent3">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1" anchor="t"/>
        <a:lstStyle/>
        <a:p>
          <a:pPr algn="r" rtl="1"/>
          <a:endParaRPr lang="ar-EG" sz="1100"/>
        </a:p>
      </xdr:txBody>
    </xdr:sp>
    <xdr:clientData/>
  </xdr:twoCellAnchor>
  <xdr:twoCellAnchor>
    <xdr:from>
      <xdr:col>5</xdr:col>
      <xdr:colOff>285750</xdr:colOff>
      <xdr:row>37</xdr:row>
      <xdr:rowOff>31750</xdr:rowOff>
    </xdr:from>
    <xdr:to>
      <xdr:col>6</xdr:col>
      <xdr:colOff>1568824</xdr:colOff>
      <xdr:row>40</xdr:row>
      <xdr:rowOff>172756</xdr:rowOff>
    </xdr:to>
    <xdr:sp macro="" textlink="">
      <xdr:nvSpPr>
        <xdr:cNvPr id="22" name="Left Arrow 21">
          <a:extLst>
            <a:ext uri="{FF2B5EF4-FFF2-40B4-BE49-F238E27FC236}">
              <a16:creationId xmlns:a16="http://schemas.microsoft.com/office/drawing/2014/main" id="{00000000-0008-0000-0F00-000016000000}"/>
            </a:ext>
          </a:extLst>
        </xdr:cNvPr>
        <xdr:cNvSpPr/>
      </xdr:nvSpPr>
      <xdr:spPr>
        <a:xfrm>
          <a:off x="11243874776" y="17748250"/>
          <a:ext cx="2635624" cy="1112556"/>
        </a:xfrm>
        <a:prstGeom prst="leftArrow">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1" anchor="t"/>
        <a:lstStyle/>
        <a:p>
          <a:pPr algn="r" rtl="1"/>
          <a:endParaRPr lang="ar-EG" sz="1100"/>
        </a:p>
      </xdr:txBody>
    </xdr:sp>
    <xdr:clientData/>
  </xdr:twoCellAnchor>
  <xdr:twoCellAnchor>
    <xdr:from>
      <xdr:col>5</xdr:col>
      <xdr:colOff>281550</xdr:colOff>
      <xdr:row>47</xdr:row>
      <xdr:rowOff>12070</xdr:rowOff>
    </xdr:from>
    <xdr:to>
      <xdr:col>6</xdr:col>
      <xdr:colOff>1557899</xdr:colOff>
      <xdr:row>49</xdr:row>
      <xdr:rowOff>19685</xdr:rowOff>
    </xdr:to>
    <xdr:sp macro="" textlink="">
      <xdr:nvSpPr>
        <xdr:cNvPr id="23" name="Left Arrow 22">
          <a:extLst>
            <a:ext uri="{FF2B5EF4-FFF2-40B4-BE49-F238E27FC236}">
              <a16:creationId xmlns:a16="http://schemas.microsoft.com/office/drawing/2014/main" id="{00000000-0008-0000-0F00-000017000000}"/>
            </a:ext>
          </a:extLst>
        </xdr:cNvPr>
        <xdr:cNvSpPr/>
      </xdr:nvSpPr>
      <xdr:spPr>
        <a:xfrm rot="1335689">
          <a:off x="11247371851" y="17538070"/>
          <a:ext cx="2628899" cy="1017265"/>
        </a:xfrm>
        <a:prstGeom prst="leftArrow">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1" anchor="t"/>
        <a:lstStyle/>
        <a:p>
          <a:pPr algn="r" rtl="1"/>
          <a:endParaRPr lang="ar-EG" sz="1100"/>
        </a:p>
      </xdr:txBody>
    </xdr:sp>
    <xdr:clientData/>
  </xdr:twoCellAnchor>
  <xdr:twoCellAnchor>
    <xdr:from>
      <xdr:col>5</xdr:col>
      <xdr:colOff>571500</xdr:colOff>
      <xdr:row>55</xdr:row>
      <xdr:rowOff>19050</xdr:rowOff>
    </xdr:from>
    <xdr:to>
      <xdr:col>6</xdr:col>
      <xdr:colOff>1521199</xdr:colOff>
      <xdr:row>58</xdr:row>
      <xdr:rowOff>71156</xdr:rowOff>
    </xdr:to>
    <xdr:sp macro="" textlink="">
      <xdr:nvSpPr>
        <xdr:cNvPr id="25" name="Left Arrow 24">
          <a:extLst>
            <a:ext uri="{FF2B5EF4-FFF2-40B4-BE49-F238E27FC236}">
              <a16:creationId xmlns:a16="http://schemas.microsoft.com/office/drawing/2014/main" id="{00000000-0008-0000-0F00-000019000000}"/>
            </a:ext>
          </a:extLst>
        </xdr:cNvPr>
        <xdr:cNvSpPr/>
      </xdr:nvSpPr>
      <xdr:spPr>
        <a:xfrm>
          <a:off x="11242855601" y="21126450"/>
          <a:ext cx="2302249" cy="1099856"/>
        </a:xfrm>
        <a:prstGeom prst="leftArrow">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1" anchor="t"/>
        <a:lstStyle/>
        <a:p>
          <a:pPr algn="r" rtl="1"/>
          <a:endParaRPr lang="ar-EG" sz="1100"/>
        </a:p>
      </xdr:txBody>
    </xdr:sp>
    <xdr:clientData/>
  </xdr:twoCellAnchor>
  <xdr:twoCellAnchor>
    <xdr:from>
      <xdr:col>5</xdr:col>
      <xdr:colOff>201772</xdr:colOff>
      <xdr:row>95</xdr:row>
      <xdr:rowOff>602592</xdr:rowOff>
    </xdr:from>
    <xdr:to>
      <xdr:col>6</xdr:col>
      <xdr:colOff>1560281</xdr:colOff>
      <xdr:row>98</xdr:row>
      <xdr:rowOff>357631</xdr:rowOff>
    </xdr:to>
    <xdr:sp macro="" textlink="">
      <xdr:nvSpPr>
        <xdr:cNvPr id="26" name="Left Arrow 25">
          <a:extLst>
            <a:ext uri="{FF2B5EF4-FFF2-40B4-BE49-F238E27FC236}">
              <a16:creationId xmlns:a16="http://schemas.microsoft.com/office/drawing/2014/main" id="{00000000-0008-0000-0F00-00001A000000}"/>
            </a:ext>
          </a:extLst>
        </xdr:cNvPr>
        <xdr:cNvSpPr/>
      </xdr:nvSpPr>
      <xdr:spPr>
        <a:xfrm rot="20078015">
          <a:off x="11243883319" y="50932692"/>
          <a:ext cx="2711059" cy="1469539"/>
        </a:xfrm>
        <a:prstGeom prst="leftArrow">
          <a:avLst/>
        </a:prstGeom>
        <a:solidFill>
          <a:schemeClr val="accent3">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1" anchor="t"/>
        <a:lstStyle/>
        <a:p>
          <a:pPr algn="r" rtl="1"/>
          <a:endParaRPr lang="ar-EG" sz="11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B3:F86" totalsRowShown="0" headerRowDxfId="15" headerRowBorderDxfId="14" tableBorderDxfId="13">
  <tableColumns count="5">
    <tableColumn id="1" xr3:uid="{00000000-0010-0000-0000-000001000000}" name="م" dataDxfId="12"/>
    <tableColumn id="2" xr3:uid="{00000000-0010-0000-0000-000002000000}" name="الخامات" dataDxfId="11"/>
    <tableColumn id="3" xr3:uid="{00000000-0010-0000-0000-000003000000}" name="الوحده" dataDxfId="10"/>
    <tableColumn id="4" xr3:uid="{00000000-0010-0000-0000-000004000000}" name="الفئة" dataDxfId="9"/>
    <tableColumn id="5" xr3:uid="{00000000-0010-0000-0000-000005000000}" name="Column1"/>
  </tableColumns>
  <tableStyleInfo name="Table Style 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14" displayName="Table14" ref="A3:E124" totalsRowShown="0" headerRowDxfId="8" dataDxfId="6" headerRowBorderDxfId="7" tableBorderDxfId="5">
  <tableColumns count="5">
    <tableColumn id="1" xr3:uid="{00000000-0010-0000-0100-000001000000}" name="م" dataDxfId="4"/>
    <tableColumn id="2" xr3:uid="{00000000-0010-0000-0100-000002000000}" name="الاعمال" dataDxfId="3"/>
    <tableColumn id="3" xr3:uid="{00000000-0010-0000-0100-000003000000}" name="الوحده" dataDxfId="2"/>
    <tableColumn id="5" xr3:uid="{00000000-0010-0000-0100-000005000000}" name="الفئة" dataDxfId="1"/>
    <tableColumn id="4" xr3:uid="{00000000-0010-0000-0100-000004000000}" name="العلاه لكل دور" dataDxfId="0"/>
  </tableColumns>
  <tableStyleInfo name="TableStyleMedium7" showFirstColumn="0" showLastColumn="0" showRowStripes="1" showColumnStripes="0"/>
</table>
</file>

<file path=xl/theme/theme1.xml><?xml version="1.0" encoding="utf-8"?>
<a:theme xmlns:a="http://schemas.openxmlformats.org/drawingml/2006/main" name="نسق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2060"/>
  </sheetPr>
  <dimension ref="A6"/>
  <sheetViews>
    <sheetView rightToLeft="1" tabSelected="1" zoomScale="80" zoomScaleNormal="80" workbookViewId="0">
      <selection activeCell="N3" sqref="N3"/>
    </sheetView>
  </sheetViews>
  <sheetFormatPr defaultRowHeight="15" x14ac:dyDescent="0.25"/>
  <sheetData>
    <row r="6" ht="21.75" customHeight="1" x14ac:dyDescent="0.25"/>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3" tint="0.79998168889431442"/>
    <pageSetUpPr fitToPage="1"/>
  </sheetPr>
  <dimension ref="A1:K67"/>
  <sheetViews>
    <sheetView rightToLeft="1" zoomScale="40" zoomScaleNormal="40" zoomScaleSheetLayoutView="80" zoomScalePageLayoutView="40" workbookViewId="0">
      <selection activeCell="C65" sqref="C65:I65"/>
    </sheetView>
  </sheetViews>
  <sheetFormatPr defaultColWidth="9" defaultRowHeight="35.1" customHeight="1" x14ac:dyDescent="0.25"/>
  <cols>
    <col min="1" max="1" width="4.28515625" style="185" customWidth="1"/>
    <col min="2" max="2" width="6.28515625" style="185" customWidth="1"/>
    <col min="3" max="3" width="28.28515625" style="185" customWidth="1"/>
    <col min="4" max="4" width="26.28515625" style="6" customWidth="1"/>
    <col min="5" max="5" width="34.42578125" style="185" customWidth="1"/>
    <col min="6" max="6" width="13" style="166" customWidth="1"/>
    <col min="7" max="8" width="18.42578125" style="166" customWidth="1"/>
    <col min="9" max="9" width="17.85546875" style="166" customWidth="1"/>
    <col min="10" max="10" width="23.42578125" style="189" customWidth="1"/>
    <col min="11" max="11" width="18.42578125" style="185" customWidth="1"/>
    <col min="12" max="16384" width="9" style="185"/>
  </cols>
  <sheetData>
    <row r="1" spans="1:11" ht="35.1" customHeight="1" x14ac:dyDescent="0.25">
      <c r="D1" s="185"/>
    </row>
    <row r="2" spans="1:11" ht="35.1" customHeight="1" x14ac:dyDescent="0.25">
      <c r="D2" s="185"/>
    </row>
    <row r="3" spans="1:11" s="34" customFormat="1" ht="51.75" customHeight="1" x14ac:dyDescent="0.25">
      <c r="D3" s="501"/>
      <c r="E3" s="1107" t="s">
        <v>518</v>
      </c>
      <c r="F3" s="1107"/>
      <c r="G3" s="1107"/>
      <c r="H3" s="1107"/>
      <c r="I3" s="501"/>
      <c r="J3" s="501"/>
    </row>
    <row r="4" spans="1:11" s="34" customFormat="1" ht="21" customHeight="1" thickBot="1" x14ac:dyDescent="0.3">
      <c r="A4" s="185"/>
      <c r="B4" s="185"/>
      <c r="C4" s="185"/>
      <c r="D4" s="185"/>
      <c r="E4" s="185"/>
      <c r="F4" s="185"/>
      <c r="G4" s="185"/>
      <c r="H4" s="185"/>
      <c r="I4" s="185"/>
      <c r="J4" s="185"/>
    </row>
    <row r="5" spans="1:11" s="268" customFormat="1" ht="46.5" customHeight="1" thickBot="1" x14ac:dyDescent="0.3">
      <c r="E5" s="1106" t="s">
        <v>520</v>
      </c>
      <c r="F5" s="1106"/>
      <c r="G5" s="1106"/>
      <c r="H5" s="1106"/>
      <c r="J5" s="380" t="s">
        <v>1171</v>
      </c>
    </row>
    <row r="6" spans="1:11" s="268" customFormat="1" ht="33" customHeight="1" x14ac:dyDescent="0.25">
      <c r="E6" s="483"/>
      <c r="F6" s="483"/>
      <c r="G6" s="483"/>
      <c r="H6" s="483"/>
    </row>
    <row r="7" spans="1:11" s="471" customFormat="1" ht="69.75" customHeight="1" x14ac:dyDescent="0.25">
      <c r="B7" s="473" t="s">
        <v>0</v>
      </c>
      <c r="C7" s="473" t="s">
        <v>1</v>
      </c>
      <c r="D7" s="1086" t="s">
        <v>2</v>
      </c>
      <c r="E7" s="1086"/>
      <c r="F7" s="473" t="s">
        <v>3</v>
      </c>
      <c r="G7" s="473" t="s">
        <v>4</v>
      </c>
      <c r="H7" s="473" t="s">
        <v>5</v>
      </c>
      <c r="I7" s="473" t="s">
        <v>6</v>
      </c>
      <c r="J7" s="225" t="s">
        <v>7</v>
      </c>
      <c r="K7" s="268"/>
    </row>
    <row r="8" spans="1:11" s="268" customFormat="1" ht="33.75" x14ac:dyDescent="0.25">
      <c r="B8" s="281"/>
      <c r="C8" s="1105" t="s">
        <v>219</v>
      </c>
      <c r="D8" s="1097" t="s">
        <v>14</v>
      </c>
      <c r="E8" s="281" t="s">
        <v>18</v>
      </c>
      <c r="F8" s="262" t="s">
        <v>19</v>
      </c>
      <c r="G8" s="487">
        <f>'اسعار الخامات'!E7</f>
        <v>650</v>
      </c>
      <c r="H8" s="496">
        <v>8.9999999999999993E-3</v>
      </c>
      <c r="I8" s="486">
        <v>0.05</v>
      </c>
      <c r="J8" s="263">
        <f>H8*G8+(I8*H8*G8)</f>
        <v>6.1425000000000001</v>
      </c>
    </row>
    <row r="9" spans="1:11" s="268" customFormat="1" ht="33.75" x14ac:dyDescent="0.25">
      <c r="B9" s="281"/>
      <c r="C9" s="1105"/>
      <c r="D9" s="1097"/>
      <c r="E9" s="281" t="s">
        <v>21</v>
      </c>
      <c r="F9" s="262" t="s">
        <v>12</v>
      </c>
      <c r="G9" s="485">
        <f>'اسعار الخامات'!E9</f>
        <v>35</v>
      </c>
      <c r="H9" s="497">
        <f>((1/50)+(1/10))</f>
        <v>0.12000000000000001</v>
      </c>
      <c r="I9" s="486">
        <v>0.1</v>
      </c>
      <c r="J9" s="263">
        <f>H9*G9+(I9*H9*G9)</f>
        <v>4.62</v>
      </c>
    </row>
    <row r="10" spans="1:11" s="268" customFormat="1" ht="33.75" x14ac:dyDescent="0.25">
      <c r="B10" s="281"/>
      <c r="C10" s="1105"/>
      <c r="D10" s="1097"/>
      <c r="E10" s="281" t="s">
        <v>56</v>
      </c>
      <c r="F10" s="262" t="s">
        <v>207</v>
      </c>
      <c r="G10" s="487">
        <f>'اسعار الخامات'!E18/20</f>
        <v>50</v>
      </c>
      <c r="H10" s="497">
        <f>1/500/2</f>
        <v>1E-3</v>
      </c>
      <c r="I10" s="486">
        <v>0.05</v>
      </c>
      <c r="J10" s="263">
        <v>0</v>
      </c>
    </row>
    <row r="11" spans="1:11" s="268" customFormat="1" ht="33.75" x14ac:dyDescent="0.25">
      <c r="B11" s="281"/>
      <c r="C11" s="1105"/>
      <c r="D11" s="1097"/>
      <c r="E11" s="281" t="s">
        <v>15</v>
      </c>
      <c r="F11" s="262" t="s">
        <v>12</v>
      </c>
      <c r="G11" s="485">
        <f>'اسعار الخامات'!E12</f>
        <v>13</v>
      </c>
      <c r="H11" s="262">
        <f>1.75/50</f>
        <v>3.5000000000000003E-2</v>
      </c>
      <c r="I11" s="486">
        <v>0.1</v>
      </c>
      <c r="J11" s="263">
        <f>H11*G11+(I11*H11*G11)</f>
        <v>0.50050000000000006</v>
      </c>
    </row>
    <row r="12" spans="1:11" s="268" customFormat="1" ht="33.75" x14ac:dyDescent="0.25">
      <c r="B12" s="281"/>
      <c r="C12" s="1105"/>
      <c r="D12" s="319" t="s">
        <v>11</v>
      </c>
      <c r="E12" s="281" t="s">
        <v>215</v>
      </c>
      <c r="F12" s="262" t="s">
        <v>45</v>
      </c>
      <c r="G12" s="485">
        <f>'اسعار المصنعيات'!D40</f>
        <v>75</v>
      </c>
      <c r="H12" s="262">
        <v>1</v>
      </c>
      <c r="I12" s="262">
        <v>0</v>
      </c>
      <c r="J12" s="263">
        <f>H12*G12</f>
        <v>75</v>
      </c>
    </row>
    <row r="13" spans="1:11" s="469" customFormat="1" ht="45.75" customHeight="1" x14ac:dyDescent="0.25">
      <c r="B13" s="467"/>
      <c r="C13" s="1036" t="s">
        <v>13</v>
      </c>
      <c r="D13" s="1036"/>
      <c r="E13" s="1036"/>
      <c r="F13" s="1036"/>
      <c r="G13" s="1036"/>
      <c r="H13" s="1036"/>
      <c r="I13" s="1036"/>
      <c r="J13" s="468">
        <f>SUM(J8:J12)</f>
        <v>86.263000000000005</v>
      </c>
      <c r="K13" s="468">
        <f>J13*1.25</f>
        <v>107.82875000000001</v>
      </c>
    </row>
    <row r="14" spans="1:11" s="469" customFormat="1" ht="45.75" customHeight="1" x14ac:dyDescent="0.25"/>
    <row r="15" spans="1:11" s="471" customFormat="1" ht="69.75" customHeight="1" x14ac:dyDescent="0.25">
      <c r="B15" s="473" t="s">
        <v>0</v>
      </c>
      <c r="C15" s="473" t="s">
        <v>1</v>
      </c>
      <c r="D15" s="1086" t="s">
        <v>2</v>
      </c>
      <c r="E15" s="1086"/>
      <c r="F15" s="473" t="s">
        <v>3</v>
      </c>
      <c r="G15" s="473" t="s">
        <v>4</v>
      </c>
      <c r="H15" s="473" t="s">
        <v>5</v>
      </c>
      <c r="I15" s="473" t="s">
        <v>6</v>
      </c>
      <c r="J15" s="225" t="s">
        <v>7</v>
      </c>
      <c r="K15" s="268"/>
    </row>
    <row r="16" spans="1:11" s="268" customFormat="1" ht="33.75" x14ac:dyDescent="0.25">
      <c r="B16" s="281"/>
      <c r="C16" s="1105" t="s">
        <v>297</v>
      </c>
      <c r="D16" s="1097" t="s">
        <v>14</v>
      </c>
      <c r="E16" s="281" t="s">
        <v>18</v>
      </c>
      <c r="F16" s="262" t="s">
        <v>19</v>
      </c>
      <c r="G16" s="487">
        <f>'اسعار الخامات'!E7</f>
        <v>650</v>
      </c>
      <c r="H16" s="496">
        <f>0.35/40/10</f>
        <v>8.7499999999999991E-4</v>
      </c>
      <c r="I16" s="486">
        <v>0.05</v>
      </c>
      <c r="J16" s="263">
        <f>H16*G16+(I16*H16*G16)</f>
        <v>0.59718749999999998</v>
      </c>
    </row>
    <row r="17" spans="2:11" s="268" customFormat="1" ht="33.75" x14ac:dyDescent="0.25">
      <c r="B17" s="281"/>
      <c r="C17" s="1105"/>
      <c r="D17" s="1097"/>
      <c r="E17" s="281" t="s">
        <v>21</v>
      </c>
      <c r="F17" s="262" t="s">
        <v>12</v>
      </c>
      <c r="G17" s="485">
        <f>'اسعار الخامات'!E9</f>
        <v>35</v>
      </c>
      <c r="H17" s="497">
        <f>1/40+(1/10)/10</f>
        <v>3.5000000000000003E-2</v>
      </c>
      <c r="I17" s="486">
        <v>0.1</v>
      </c>
      <c r="J17" s="263">
        <f>H17*G17+(I17*H17*G17)</f>
        <v>1.3475000000000001</v>
      </c>
    </row>
    <row r="18" spans="2:11" s="268" customFormat="1" ht="33.75" x14ac:dyDescent="0.25">
      <c r="B18" s="281"/>
      <c r="C18" s="1105"/>
      <c r="D18" s="1097"/>
      <c r="E18" s="281" t="s">
        <v>56</v>
      </c>
      <c r="F18" s="262" t="s">
        <v>207</v>
      </c>
      <c r="G18" s="487">
        <f>'اسعار الخامات'!E18/20</f>
        <v>50</v>
      </c>
      <c r="H18" s="497">
        <f>1/40/10</f>
        <v>2.5000000000000001E-3</v>
      </c>
      <c r="I18" s="486">
        <v>0.05</v>
      </c>
      <c r="J18" s="263">
        <v>0</v>
      </c>
    </row>
    <row r="19" spans="2:11" s="268" customFormat="1" ht="33.75" x14ac:dyDescent="0.25">
      <c r="B19" s="281"/>
      <c r="C19" s="1105"/>
      <c r="D19" s="1097"/>
      <c r="E19" s="281" t="s">
        <v>15</v>
      </c>
      <c r="F19" s="262" t="s">
        <v>12</v>
      </c>
      <c r="G19" s="485">
        <f>'اسعار الخامات'!E12</f>
        <v>13</v>
      </c>
      <c r="H19" s="262">
        <f>1.75/40/10</f>
        <v>4.3749999999999995E-3</v>
      </c>
      <c r="I19" s="486">
        <v>0.1</v>
      </c>
      <c r="J19" s="263">
        <f>H19*G19+(I19*H19*G19)</f>
        <v>6.2562499999999993E-2</v>
      </c>
    </row>
    <row r="20" spans="2:11" s="268" customFormat="1" ht="33.75" x14ac:dyDescent="0.25">
      <c r="B20" s="281"/>
      <c r="C20" s="1105"/>
      <c r="D20" s="319" t="s">
        <v>11</v>
      </c>
      <c r="E20" s="281" t="s">
        <v>215</v>
      </c>
      <c r="F20" s="262" t="s">
        <v>45</v>
      </c>
      <c r="G20" s="485">
        <f>'اسعار المصنعيات'!D41</f>
        <v>12</v>
      </c>
      <c r="H20" s="262">
        <v>1</v>
      </c>
      <c r="I20" s="262">
        <v>0</v>
      </c>
      <c r="J20" s="263">
        <f>H20*G20</f>
        <v>12</v>
      </c>
    </row>
    <row r="21" spans="2:11" s="469" customFormat="1" ht="45.75" customHeight="1" x14ac:dyDescent="0.25">
      <c r="B21" s="467"/>
      <c r="C21" s="1036" t="s">
        <v>13</v>
      </c>
      <c r="D21" s="1036"/>
      <c r="E21" s="1036"/>
      <c r="F21" s="1036"/>
      <c r="G21" s="1036"/>
      <c r="H21" s="1036"/>
      <c r="I21" s="1036"/>
      <c r="J21" s="468">
        <f>SUM(J16:J20)</f>
        <v>14.007249999999999</v>
      </c>
      <c r="K21" s="468">
        <f>J21*1.25</f>
        <v>17.509062499999999</v>
      </c>
    </row>
    <row r="22" spans="2:11" s="469" customFormat="1" ht="45.75" customHeight="1" x14ac:dyDescent="0.25"/>
    <row r="23" spans="2:11" s="471" customFormat="1" ht="69.75" customHeight="1" x14ac:dyDescent="0.25">
      <c r="B23" s="473" t="s">
        <v>0</v>
      </c>
      <c r="C23" s="473" t="s">
        <v>1</v>
      </c>
      <c r="D23" s="1086" t="s">
        <v>2</v>
      </c>
      <c r="E23" s="1086"/>
      <c r="F23" s="473" t="s">
        <v>3</v>
      </c>
      <c r="G23" s="473" t="s">
        <v>4</v>
      </c>
      <c r="H23" s="473" t="s">
        <v>5</v>
      </c>
      <c r="I23" s="473" t="s">
        <v>6</v>
      </c>
      <c r="J23" s="225" t="s">
        <v>7</v>
      </c>
      <c r="K23" s="268"/>
    </row>
    <row r="24" spans="2:11" s="268" customFormat="1" ht="33.75" x14ac:dyDescent="0.25">
      <c r="B24" s="281"/>
      <c r="C24" s="1105" t="s">
        <v>218</v>
      </c>
      <c r="D24" s="1097" t="s">
        <v>14</v>
      </c>
      <c r="E24" s="281" t="s">
        <v>18</v>
      </c>
      <c r="F24" s="262" t="s">
        <v>19</v>
      </c>
      <c r="G24" s="487">
        <f>'اسعار الخامات'!E7</f>
        <v>650</v>
      </c>
      <c r="H24" s="496">
        <f>9/1000</f>
        <v>8.9999999999999993E-3</v>
      </c>
      <c r="I24" s="486">
        <v>0.05</v>
      </c>
      <c r="J24" s="263">
        <f>H24*G24+(I24*H24*G24)</f>
        <v>6.1425000000000001</v>
      </c>
    </row>
    <row r="25" spans="2:11" s="268" customFormat="1" ht="33.75" x14ac:dyDescent="0.25">
      <c r="B25" s="281"/>
      <c r="C25" s="1105"/>
      <c r="D25" s="1097"/>
      <c r="E25" s="281" t="s">
        <v>21</v>
      </c>
      <c r="F25" s="262" t="s">
        <v>12</v>
      </c>
      <c r="G25" s="485">
        <f>'اسعار الخامات'!E9</f>
        <v>35</v>
      </c>
      <c r="H25" s="497">
        <f>1/50+(1/10)/2</f>
        <v>7.0000000000000007E-2</v>
      </c>
      <c r="I25" s="486">
        <v>0.1</v>
      </c>
      <c r="J25" s="263">
        <f>H25*G25+(I25*H25*G25)</f>
        <v>2.6950000000000003</v>
      </c>
    </row>
    <row r="26" spans="2:11" s="268" customFormat="1" ht="33.75" x14ac:dyDescent="0.25">
      <c r="B26" s="281"/>
      <c r="C26" s="1105"/>
      <c r="D26" s="1097"/>
      <c r="E26" s="281" t="s">
        <v>56</v>
      </c>
      <c r="F26" s="262" t="s">
        <v>207</v>
      </c>
      <c r="G26" s="487">
        <f>'اسعار الخامات'!E18/20</f>
        <v>50</v>
      </c>
      <c r="H26" s="497">
        <f>1/500</f>
        <v>2E-3</v>
      </c>
      <c r="I26" s="486">
        <v>0.05</v>
      </c>
      <c r="J26" s="263">
        <v>0</v>
      </c>
    </row>
    <row r="27" spans="2:11" s="268" customFormat="1" ht="33.75" x14ac:dyDescent="0.25">
      <c r="B27" s="281"/>
      <c r="C27" s="1105"/>
      <c r="D27" s="1097"/>
      <c r="E27" s="281" t="s">
        <v>15</v>
      </c>
      <c r="F27" s="262" t="s">
        <v>12</v>
      </c>
      <c r="G27" s="485">
        <f>'اسعار الخامات'!E12</f>
        <v>13</v>
      </c>
      <c r="H27" s="262">
        <f>1.75/50/2</f>
        <v>1.7500000000000002E-2</v>
      </c>
      <c r="I27" s="486">
        <v>0.1</v>
      </c>
      <c r="J27" s="263">
        <f>H27*G27+(I27*H27*G27)</f>
        <v>0.25025000000000003</v>
      </c>
    </row>
    <row r="28" spans="2:11" s="268" customFormat="1" ht="33.75" x14ac:dyDescent="0.25">
      <c r="B28" s="281"/>
      <c r="C28" s="1105"/>
      <c r="D28" s="319" t="s">
        <v>11</v>
      </c>
      <c r="E28" s="281" t="s">
        <v>215</v>
      </c>
      <c r="F28" s="262" t="s">
        <v>59</v>
      </c>
      <c r="G28" s="485">
        <f>'اسعار المصنعيات'!D42</f>
        <v>70</v>
      </c>
      <c r="H28" s="262">
        <v>1</v>
      </c>
      <c r="I28" s="262">
        <v>0</v>
      </c>
      <c r="J28" s="263">
        <f>H28*G28</f>
        <v>70</v>
      </c>
    </row>
    <row r="29" spans="2:11" s="469" customFormat="1" ht="45.75" customHeight="1" x14ac:dyDescent="0.25">
      <c r="B29" s="467"/>
      <c r="C29" s="1036" t="s">
        <v>13</v>
      </c>
      <c r="D29" s="1036"/>
      <c r="E29" s="1036"/>
      <c r="F29" s="1036"/>
      <c r="G29" s="1036"/>
      <c r="H29" s="1036"/>
      <c r="I29" s="1036"/>
      <c r="J29" s="468">
        <f>SUM(J24:J28)</f>
        <v>79.08775</v>
      </c>
      <c r="K29" s="468">
        <f>J29*1.25</f>
        <v>98.859687500000007</v>
      </c>
    </row>
    <row r="30" spans="2:11" s="268" customFormat="1" ht="33.75" x14ac:dyDescent="0.25"/>
    <row r="31" spans="2:11" s="268" customFormat="1" ht="48" customHeight="1" x14ac:dyDescent="0.25">
      <c r="E31" s="1106" t="s">
        <v>519</v>
      </c>
      <c r="F31" s="1106"/>
      <c r="G31" s="1106"/>
      <c r="H31" s="1106"/>
    </row>
    <row r="32" spans="2:11" s="469" customFormat="1" ht="24.75" customHeight="1" x14ac:dyDescent="0.25"/>
    <row r="33" spans="2:11" s="471" customFormat="1" ht="69.75" customHeight="1" x14ac:dyDescent="0.25">
      <c r="B33" s="473" t="s">
        <v>0</v>
      </c>
      <c r="C33" s="473" t="s">
        <v>1</v>
      </c>
      <c r="D33" s="1086" t="s">
        <v>2</v>
      </c>
      <c r="E33" s="1086"/>
      <c r="F33" s="473" t="s">
        <v>3</v>
      </c>
      <c r="G33" s="473" t="s">
        <v>4</v>
      </c>
      <c r="H33" s="473" t="s">
        <v>5</v>
      </c>
      <c r="I33" s="473" t="s">
        <v>6</v>
      </c>
      <c r="J33" s="225" t="s">
        <v>7</v>
      </c>
      <c r="K33" s="268"/>
    </row>
    <row r="34" spans="2:11" s="268" customFormat="1" ht="33.75" x14ac:dyDescent="0.25">
      <c r="B34" s="281"/>
      <c r="C34" s="1105" t="s">
        <v>376</v>
      </c>
      <c r="D34" s="1097" t="s">
        <v>14</v>
      </c>
      <c r="E34" s="281" t="s">
        <v>18</v>
      </c>
      <c r="F34" s="262" t="s">
        <v>19</v>
      </c>
      <c r="G34" s="487">
        <f>'اسعار الخامات'!E7</f>
        <v>650</v>
      </c>
      <c r="H34" s="496">
        <f>0.35/50</f>
        <v>6.9999999999999993E-3</v>
      </c>
      <c r="I34" s="486">
        <v>0.05</v>
      </c>
      <c r="J34" s="263">
        <f>H34*G34+(I34*H34*G34)</f>
        <v>4.7774999999999999</v>
      </c>
    </row>
    <row r="35" spans="2:11" s="268" customFormat="1" ht="33.75" x14ac:dyDescent="0.25">
      <c r="B35" s="281"/>
      <c r="C35" s="1105"/>
      <c r="D35" s="1097"/>
      <c r="E35" s="281" t="s">
        <v>21</v>
      </c>
      <c r="F35" s="262" t="s">
        <v>12</v>
      </c>
      <c r="G35" s="485">
        <f>'اسعار الخامات'!E9</f>
        <v>35</v>
      </c>
      <c r="H35" s="497">
        <f>((1/50)+(1/10))</f>
        <v>0.12000000000000001</v>
      </c>
      <c r="I35" s="486">
        <v>0.1</v>
      </c>
      <c r="J35" s="263">
        <f>H35*G35+(I35*H35*G35)</f>
        <v>4.62</v>
      </c>
    </row>
    <row r="36" spans="2:11" s="268" customFormat="1" ht="33.75" x14ac:dyDescent="0.25">
      <c r="B36" s="281"/>
      <c r="C36" s="1105"/>
      <c r="D36" s="1097"/>
      <c r="E36" s="281" t="s">
        <v>56</v>
      </c>
      <c r="F36" s="262" t="s">
        <v>207</v>
      </c>
      <c r="G36" s="487">
        <f>'اسعار الخامات'!E18/20</f>
        <v>50</v>
      </c>
      <c r="H36" s="497">
        <f>1/500/2</f>
        <v>1E-3</v>
      </c>
      <c r="I36" s="486">
        <v>0.05</v>
      </c>
      <c r="J36" s="263">
        <f>H36*G36+(I36*H36*G36)</f>
        <v>5.2500000000000005E-2</v>
      </c>
    </row>
    <row r="37" spans="2:11" s="268" customFormat="1" ht="33.75" x14ac:dyDescent="0.25">
      <c r="B37" s="281"/>
      <c r="C37" s="1105"/>
      <c r="D37" s="1097"/>
      <c r="E37" s="281" t="s">
        <v>15</v>
      </c>
      <c r="F37" s="262" t="s">
        <v>12</v>
      </c>
      <c r="G37" s="485">
        <f>'اسعار الخامات'!E12</f>
        <v>13</v>
      </c>
      <c r="H37" s="262">
        <f>1.75/50</f>
        <v>3.5000000000000003E-2</v>
      </c>
      <c r="I37" s="486">
        <v>0.1</v>
      </c>
      <c r="J37" s="263">
        <f>H37*G37+(I37*H37*G37)</f>
        <v>0.50050000000000006</v>
      </c>
    </row>
    <row r="38" spans="2:11" s="268" customFormat="1" ht="33.75" x14ac:dyDescent="0.25">
      <c r="B38" s="281"/>
      <c r="C38" s="1105"/>
      <c r="D38" s="319" t="s">
        <v>11</v>
      </c>
      <c r="E38" s="281" t="s">
        <v>215</v>
      </c>
      <c r="F38" s="262" t="s">
        <v>45</v>
      </c>
      <c r="G38" s="485">
        <f>'اسعار المصنعيات'!D37</f>
        <v>75</v>
      </c>
      <c r="H38" s="262">
        <v>1</v>
      </c>
      <c r="I38" s="262">
        <v>0</v>
      </c>
      <c r="J38" s="263">
        <f>H38*G38</f>
        <v>75</v>
      </c>
    </row>
    <row r="39" spans="2:11" s="469" customFormat="1" ht="45.75" customHeight="1" x14ac:dyDescent="0.25">
      <c r="B39" s="467"/>
      <c r="C39" s="1036" t="s">
        <v>13</v>
      </c>
      <c r="D39" s="1036"/>
      <c r="E39" s="1036"/>
      <c r="F39" s="1036"/>
      <c r="G39" s="1036"/>
      <c r="H39" s="1036"/>
      <c r="I39" s="1036"/>
      <c r="J39" s="468">
        <f>SUM(J34:J38)</f>
        <v>84.950500000000005</v>
      </c>
      <c r="K39" s="468"/>
    </row>
    <row r="40" spans="2:11" s="469" customFormat="1" ht="45.75" customHeight="1" x14ac:dyDescent="0.25"/>
    <row r="41" spans="2:11" s="471" customFormat="1" ht="69.75" customHeight="1" x14ac:dyDescent="0.25">
      <c r="B41" s="473" t="s">
        <v>0</v>
      </c>
      <c r="C41" s="473" t="s">
        <v>1</v>
      </c>
      <c r="D41" s="1086" t="s">
        <v>2</v>
      </c>
      <c r="E41" s="1086"/>
      <c r="F41" s="473" t="s">
        <v>3</v>
      </c>
      <c r="G41" s="473" t="s">
        <v>4</v>
      </c>
      <c r="H41" s="473" t="s">
        <v>5</v>
      </c>
      <c r="I41" s="473" t="s">
        <v>6</v>
      </c>
      <c r="J41" s="225" t="s">
        <v>7</v>
      </c>
      <c r="K41" s="268"/>
    </row>
    <row r="42" spans="2:11" s="268" customFormat="1" ht="33.75" x14ac:dyDescent="0.25">
      <c r="B42" s="281"/>
      <c r="C42" s="1105" t="s">
        <v>378</v>
      </c>
      <c r="D42" s="1097" t="s">
        <v>14</v>
      </c>
      <c r="E42" s="319" t="s">
        <v>18</v>
      </c>
      <c r="F42" s="485" t="s">
        <v>19</v>
      </c>
      <c r="G42" s="487">
        <f t="shared" ref="G42:G45" si="0">G34</f>
        <v>650</v>
      </c>
      <c r="H42" s="488">
        <f>0.35/40/10</f>
        <v>8.7499999999999991E-4</v>
      </c>
      <c r="I42" s="486">
        <v>0.05</v>
      </c>
      <c r="J42" s="263">
        <f>H42*G42+(I42*H42*G42)</f>
        <v>0.59718749999999998</v>
      </c>
    </row>
    <row r="43" spans="2:11" s="268" customFormat="1" ht="33.75" x14ac:dyDescent="0.25">
      <c r="B43" s="281"/>
      <c r="C43" s="1105"/>
      <c r="D43" s="1097"/>
      <c r="E43" s="319" t="s">
        <v>21</v>
      </c>
      <c r="F43" s="485" t="s">
        <v>12</v>
      </c>
      <c r="G43" s="485">
        <f t="shared" si="0"/>
        <v>35</v>
      </c>
      <c r="H43" s="489">
        <f>1/40+(1/10)/10</f>
        <v>3.5000000000000003E-2</v>
      </c>
      <c r="I43" s="486">
        <v>0.1</v>
      </c>
      <c r="J43" s="263">
        <f>H43*G43+(I43*H43*G43)</f>
        <v>1.3475000000000001</v>
      </c>
    </row>
    <row r="44" spans="2:11" s="268" customFormat="1" ht="33.75" x14ac:dyDescent="0.25">
      <c r="B44" s="281"/>
      <c r="C44" s="1105"/>
      <c r="D44" s="1097"/>
      <c r="E44" s="319" t="s">
        <v>56</v>
      </c>
      <c r="F44" s="485" t="s">
        <v>207</v>
      </c>
      <c r="G44" s="487">
        <f t="shared" si="0"/>
        <v>50</v>
      </c>
      <c r="H44" s="489">
        <f>1/40/10</f>
        <v>2.5000000000000001E-3</v>
      </c>
      <c r="I44" s="486">
        <v>0.05</v>
      </c>
      <c r="J44" s="263">
        <f>H44*G44+(I44*H44*G44)</f>
        <v>0.13125000000000001</v>
      </c>
    </row>
    <row r="45" spans="2:11" s="268" customFormat="1" ht="33.75" x14ac:dyDescent="0.25">
      <c r="B45" s="281"/>
      <c r="C45" s="1105"/>
      <c r="D45" s="1097"/>
      <c r="E45" s="319" t="s">
        <v>15</v>
      </c>
      <c r="F45" s="485" t="s">
        <v>12</v>
      </c>
      <c r="G45" s="485">
        <f t="shared" si="0"/>
        <v>13</v>
      </c>
      <c r="H45" s="485">
        <f>1.75/40/10</f>
        <v>4.3749999999999995E-3</v>
      </c>
      <c r="I45" s="486">
        <v>0.1</v>
      </c>
      <c r="J45" s="263">
        <f>H45*G45+(I45*H45*G45)</f>
        <v>6.2562499999999993E-2</v>
      </c>
    </row>
    <row r="46" spans="2:11" s="268" customFormat="1" ht="33.75" x14ac:dyDescent="0.25">
      <c r="B46" s="281"/>
      <c r="C46" s="1105"/>
      <c r="D46" s="319" t="s">
        <v>11</v>
      </c>
      <c r="E46" s="319" t="s">
        <v>215</v>
      </c>
      <c r="F46" s="485" t="s">
        <v>45</v>
      </c>
      <c r="G46" s="485">
        <f>'اسعار المصنعيات'!D38</f>
        <v>10</v>
      </c>
      <c r="H46" s="485">
        <v>1</v>
      </c>
      <c r="I46" s="262">
        <v>0</v>
      </c>
      <c r="J46" s="263">
        <f>H46*G46</f>
        <v>10</v>
      </c>
    </row>
    <row r="47" spans="2:11" s="469" customFormat="1" ht="45.75" customHeight="1" x14ac:dyDescent="0.25">
      <c r="B47" s="467"/>
      <c r="C47" s="1036" t="s">
        <v>13</v>
      </c>
      <c r="D47" s="1036"/>
      <c r="E47" s="1036"/>
      <c r="F47" s="1036"/>
      <c r="G47" s="1036"/>
      <c r="H47" s="1036"/>
      <c r="I47" s="1036"/>
      <c r="J47" s="468">
        <f>SUM(J42:J46)</f>
        <v>12.138500000000001</v>
      </c>
      <c r="K47" s="468"/>
    </row>
    <row r="48" spans="2:11" s="469" customFormat="1" ht="45.75" customHeight="1" x14ac:dyDescent="0.25"/>
    <row r="49" spans="2:11" s="471" customFormat="1" ht="69.75" customHeight="1" x14ac:dyDescent="0.25">
      <c r="B49" s="473" t="s">
        <v>0</v>
      </c>
      <c r="C49" s="473" t="s">
        <v>1</v>
      </c>
      <c r="D49" s="1086" t="s">
        <v>2</v>
      </c>
      <c r="E49" s="1086"/>
      <c r="F49" s="473" t="s">
        <v>3</v>
      </c>
      <c r="G49" s="473" t="s">
        <v>4</v>
      </c>
      <c r="H49" s="473" t="s">
        <v>5</v>
      </c>
      <c r="I49" s="473" t="s">
        <v>6</v>
      </c>
      <c r="J49" s="225" t="s">
        <v>7</v>
      </c>
      <c r="K49" s="268"/>
    </row>
    <row r="50" spans="2:11" s="268" customFormat="1" ht="33.75" x14ac:dyDescent="0.25">
      <c r="B50" s="281"/>
      <c r="C50" s="1105" t="s">
        <v>377</v>
      </c>
      <c r="D50" s="1097" t="s">
        <v>14</v>
      </c>
      <c r="E50" s="319" t="s">
        <v>18</v>
      </c>
      <c r="F50" s="485" t="s">
        <v>19</v>
      </c>
      <c r="G50" s="487">
        <f t="shared" ref="G50:G53" si="1">G34</f>
        <v>650</v>
      </c>
      <c r="H50" s="488">
        <f>0.35/50/2</f>
        <v>3.4999999999999996E-3</v>
      </c>
      <c r="I50" s="486">
        <v>0.05</v>
      </c>
      <c r="J50" s="263">
        <f>H50*G50+(I50*H50*G50)</f>
        <v>2.3887499999999999</v>
      </c>
    </row>
    <row r="51" spans="2:11" s="268" customFormat="1" ht="33.75" x14ac:dyDescent="0.25">
      <c r="B51" s="281"/>
      <c r="C51" s="1105"/>
      <c r="D51" s="1097"/>
      <c r="E51" s="319" t="s">
        <v>21</v>
      </c>
      <c r="F51" s="485" t="s">
        <v>12</v>
      </c>
      <c r="G51" s="485">
        <f t="shared" si="1"/>
        <v>35</v>
      </c>
      <c r="H51" s="489">
        <f>1/50+(1/10)/2</f>
        <v>7.0000000000000007E-2</v>
      </c>
      <c r="I51" s="486">
        <v>0.1</v>
      </c>
      <c r="J51" s="263">
        <f>H51*G51+(I51*H51*G51)</f>
        <v>2.6950000000000003</v>
      </c>
    </row>
    <row r="52" spans="2:11" s="268" customFormat="1" ht="33.75" x14ac:dyDescent="0.25">
      <c r="B52" s="281"/>
      <c r="C52" s="1105"/>
      <c r="D52" s="1097"/>
      <c r="E52" s="319" t="s">
        <v>56</v>
      </c>
      <c r="F52" s="485" t="s">
        <v>207</v>
      </c>
      <c r="G52" s="487">
        <f t="shared" si="1"/>
        <v>50</v>
      </c>
      <c r="H52" s="489">
        <f>1/500</f>
        <v>2E-3</v>
      </c>
      <c r="I52" s="486">
        <v>0.05</v>
      </c>
      <c r="J52" s="263">
        <f>H52*G52+(I52*H52*G52)</f>
        <v>0.10500000000000001</v>
      </c>
    </row>
    <row r="53" spans="2:11" s="268" customFormat="1" ht="33.75" x14ac:dyDescent="0.25">
      <c r="B53" s="281"/>
      <c r="C53" s="1105"/>
      <c r="D53" s="1097"/>
      <c r="E53" s="319" t="s">
        <v>15</v>
      </c>
      <c r="F53" s="485" t="s">
        <v>12</v>
      </c>
      <c r="G53" s="485">
        <f t="shared" si="1"/>
        <v>13</v>
      </c>
      <c r="H53" s="485">
        <f>1.75/50/2</f>
        <v>1.7500000000000002E-2</v>
      </c>
      <c r="I53" s="486">
        <v>0.1</v>
      </c>
      <c r="J53" s="263">
        <f>H53*G53+(I53*H53*G53)</f>
        <v>0.25025000000000003</v>
      </c>
    </row>
    <row r="54" spans="2:11" s="268" customFormat="1" ht="33.75" x14ac:dyDescent="0.25">
      <c r="B54" s="281"/>
      <c r="C54" s="1105"/>
      <c r="D54" s="319" t="s">
        <v>11</v>
      </c>
      <c r="E54" s="319" t="s">
        <v>215</v>
      </c>
      <c r="F54" s="485" t="s">
        <v>59</v>
      </c>
      <c r="G54" s="485">
        <f>'اسعار المصنعيات'!D39</f>
        <v>55</v>
      </c>
      <c r="H54" s="485">
        <v>1</v>
      </c>
      <c r="I54" s="262">
        <v>0</v>
      </c>
      <c r="J54" s="263">
        <f>H54*G54</f>
        <v>55</v>
      </c>
    </row>
    <row r="55" spans="2:11" s="469" customFormat="1" ht="45.75" customHeight="1" x14ac:dyDescent="0.25">
      <c r="B55" s="467"/>
      <c r="C55" s="1036" t="s">
        <v>13</v>
      </c>
      <c r="D55" s="1036"/>
      <c r="E55" s="1036"/>
      <c r="F55" s="1036"/>
      <c r="G55" s="1036"/>
      <c r="H55" s="1036"/>
      <c r="I55" s="1036"/>
      <c r="J55" s="468">
        <f>SUM(J50:J54)</f>
        <v>60.439</v>
      </c>
      <c r="K55" s="468"/>
    </row>
    <row r="56" spans="2:11" s="268" customFormat="1" ht="24" customHeight="1" x14ac:dyDescent="0.25"/>
    <row r="57" spans="2:11" s="268" customFormat="1" ht="57" customHeight="1" x14ac:dyDescent="0.25">
      <c r="E57" s="1106" t="s">
        <v>521</v>
      </c>
      <c r="F57" s="1106"/>
      <c r="G57" s="1106"/>
      <c r="H57" s="1106"/>
    </row>
    <row r="58" spans="2:11" s="469" customFormat="1" ht="21.75" customHeight="1" x14ac:dyDescent="0.25"/>
    <row r="59" spans="2:11" s="471" customFormat="1" ht="69.75" customHeight="1" x14ac:dyDescent="0.25">
      <c r="B59" s="473" t="s">
        <v>0</v>
      </c>
      <c r="C59" s="473" t="s">
        <v>1</v>
      </c>
      <c r="D59" s="1086" t="s">
        <v>2</v>
      </c>
      <c r="E59" s="1086"/>
      <c r="F59" s="473" t="s">
        <v>3</v>
      </c>
      <c r="G59" s="473" t="s">
        <v>4</v>
      </c>
      <c r="H59" s="473" t="s">
        <v>5</v>
      </c>
      <c r="I59" s="473" t="s">
        <v>6</v>
      </c>
      <c r="J59" s="225" t="s">
        <v>7</v>
      </c>
      <c r="K59" s="268"/>
    </row>
    <row r="60" spans="2:11" s="268" customFormat="1" ht="33.75" x14ac:dyDescent="0.25">
      <c r="B60" s="500"/>
      <c r="C60" s="1105" t="s">
        <v>461</v>
      </c>
      <c r="D60" s="1097" t="s">
        <v>14</v>
      </c>
      <c r="E60" s="319" t="s">
        <v>18</v>
      </c>
      <c r="F60" s="485" t="s">
        <v>19</v>
      </c>
      <c r="G60" s="487">
        <f>'اسعار الخامات'!E7</f>
        <v>650</v>
      </c>
      <c r="H60" s="488">
        <f>0.35/50</f>
        <v>6.9999999999999993E-3</v>
      </c>
      <c r="I60" s="486">
        <v>0.05</v>
      </c>
      <c r="J60" s="263">
        <f>H60*G60+(I60*H60*G60)</f>
        <v>4.7774999999999999</v>
      </c>
    </row>
    <row r="61" spans="2:11" s="268" customFormat="1" ht="33.75" x14ac:dyDescent="0.25">
      <c r="B61" s="500"/>
      <c r="C61" s="1105"/>
      <c r="D61" s="1097"/>
      <c r="E61" s="319" t="s">
        <v>21</v>
      </c>
      <c r="F61" s="485" t="s">
        <v>12</v>
      </c>
      <c r="G61" s="485">
        <f>'اسعار الخامات'!E9</f>
        <v>35</v>
      </c>
      <c r="H61" s="489">
        <f>((1/50)+(1/10))</f>
        <v>0.12000000000000001</v>
      </c>
      <c r="I61" s="486">
        <v>0.1</v>
      </c>
      <c r="J61" s="263">
        <f>H61*G61+(I61*H61*G61)</f>
        <v>4.62</v>
      </c>
    </row>
    <row r="62" spans="2:11" s="268" customFormat="1" ht="33.75" x14ac:dyDescent="0.25">
      <c r="B62" s="500"/>
      <c r="C62" s="1105"/>
      <c r="D62" s="1097"/>
      <c r="E62" s="319" t="s">
        <v>56</v>
      </c>
      <c r="F62" s="485" t="s">
        <v>207</v>
      </c>
      <c r="G62" s="487">
        <f>'اسعار الخامات'!E61/20</f>
        <v>10.3675</v>
      </c>
      <c r="H62" s="489">
        <f>1/500/2</f>
        <v>1E-3</v>
      </c>
      <c r="I62" s="486">
        <v>0.05</v>
      </c>
      <c r="J62" s="263">
        <f>H62*G62+(I62*H62*G62)</f>
        <v>1.0885875E-2</v>
      </c>
    </row>
    <row r="63" spans="2:11" s="268" customFormat="1" ht="33.75" x14ac:dyDescent="0.25">
      <c r="B63" s="500"/>
      <c r="C63" s="1105"/>
      <c r="D63" s="1097"/>
      <c r="E63" s="319" t="s">
        <v>15</v>
      </c>
      <c r="F63" s="485" t="s">
        <v>12</v>
      </c>
      <c r="G63" s="485">
        <f>'اسعار الخامات'!E12</f>
        <v>13</v>
      </c>
      <c r="H63" s="485">
        <f>1.75/50</f>
        <v>3.5000000000000003E-2</v>
      </c>
      <c r="I63" s="486">
        <v>0.1</v>
      </c>
      <c r="J63" s="263">
        <f>H63*G63+(I63*H63*G63)</f>
        <v>0.50050000000000006</v>
      </c>
    </row>
    <row r="64" spans="2:11" s="268" customFormat="1" ht="33.75" x14ac:dyDescent="0.25">
      <c r="B64" s="500"/>
      <c r="C64" s="1105"/>
      <c r="D64" s="319" t="s">
        <v>11</v>
      </c>
      <c r="E64" s="319" t="s">
        <v>215</v>
      </c>
      <c r="F64" s="485" t="s">
        <v>45</v>
      </c>
      <c r="G64" s="485">
        <f>'اسعار المصنعيات'!D43</f>
        <v>310</v>
      </c>
      <c r="H64" s="485">
        <v>1</v>
      </c>
      <c r="I64" s="262">
        <v>0</v>
      </c>
      <c r="J64" s="263">
        <f>H64*G64</f>
        <v>310</v>
      </c>
    </row>
    <row r="65" spans="2:11" s="469" customFormat="1" ht="45.75" customHeight="1" x14ac:dyDescent="0.25">
      <c r="B65" s="467"/>
      <c r="C65" s="1036" t="s">
        <v>13</v>
      </c>
      <c r="D65" s="1036"/>
      <c r="E65" s="1036"/>
      <c r="F65" s="1036"/>
      <c r="G65" s="1036"/>
      <c r="H65" s="1036"/>
      <c r="I65" s="1036"/>
      <c r="J65" s="468">
        <f>SUM(J60:J64)</f>
        <v>319.90888587500001</v>
      </c>
      <c r="K65" s="468"/>
    </row>
    <row r="66" spans="2:11" s="268" customFormat="1" ht="35.1" customHeight="1" x14ac:dyDescent="0.25">
      <c r="D66" s="499"/>
      <c r="F66" s="269"/>
      <c r="G66" s="269"/>
      <c r="H66" s="269"/>
      <c r="I66" s="269"/>
      <c r="J66" s="270"/>
    </row>
    <row r="67" spans="2:11" s="268" customFormat="1" ht="35.1" customHeight="1" x14ac:dyDescent="0.25">
      <c r="D67" s="499"/>
      <c r="F67" s="269"/>
      <c r="G67" s="269"/>
      <c r="H67" s="269"/>
      <c r="I67" s="269"/>
      <c r="J67" s="270"/>
    </row>
  </sheetData>
  <mergeCells count="32">
    <mergeCell ref="D41:E41"/>
    <mergeCell ref="D49:E49"/>
    <mergeCell ref="D59:E59"/>
    <mergeCell ref="C34:C38"/>
    <mergeCell ref="D34:D37"/>
    <mergeCell ref="C39:I39"/>
    <mergeCell ref="C60:C64"/>
    <mergeCell ref="D60:D63"/>
    <mergeCell ref="C65:I65"/>
    <mergeCell ref="C55:I55"/>
    <mergeCell ref="C42:C46"/>
    <mergeCell ref="D42:D45"/>
    <mergeCell ref="C47:I47"/>
    <mergeCell ref="C50:C54"/>
    <mergeCell ref="D50:D53"/>
    <mergeCell ref="E57:H57"/>
    <mergeCell ref="E3:H3"/>
    <mergeCell ref="C8:C12"/>
    <mergeCell ref="D8:D11"/>
    <mergeCell ref="D7:E7"/>
    <mergeCell ref="E5:H5"/>
    <mergeCell ref="C13:I13"/>
    <mergeCell ref="C16:C20"/>
    <mergeCell ref="D16:D19"/>
    <mergeCell ref="C21:I21"/>
    <mergeCell ref="C24:C28"/>
    <mergeCell ref="D24:D27"/>
    <mergeCell ref="E31:H31"/>
    <mergeCell ref="D15:E15"/>
    <mergeCell ref="D23:E23"/>
    <mergeCell ref="C29:I29"/>
    <mergeCell ref="D33:E33"/>
  </mergeCells>
  <hyperlinks>
    <hyperlink ref="J5" location="cover!A1" display="cover!A1" xr:uid="{00000000-0004-0000-0900-000000000000}"/>
  </hyperlinks>
  <printOptions horizontalCentered="1" verticalCentered="1"/>
  <pageMargins left="0" right="0.23622047244094491" top="0" bottom="0" header="0.31496062992125984" footer="0.31496062992125984"/>
  <pageSetup paperSize="9" scale="83" orientation="landscape" r:id="rId1"/>
  <headerFooter>
    <oddFooter>&amp;L&amp;P&amp;Cتحليل اسعار بنود الاعمال مشروع امواج &amp;R&amp;D</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3" tint="0.79998168889431442"/>
    <pageSetUpPr fitToPage="1"/>
  </sheetPr>
  <dimension ref="A1:K33"/>
  <sheetViews>
    <sheetView rightToLeft="1" zoomScale="50" zoomScaleNormal="50" zoomScaleSheetLayoutView="80" zoomScalePageLayoutView="40" workbookViewId="0">
      <pane xSplit="1" ySplit="2" topLeftCell="B3" activePane="bottomRight" state="frozen"/>
      <selection pane="topRight" activeCell="B1" sqref="B1"/>
      <selection pane="bottomLeft" activeCell="A4" sqref="A4"/>
      <selection pane="bottomRight" activeCell="J7" sqref="J7"/>
    </sheetView>
  </sheetViews>
  <sheetFormatPr defaultColWidth="9" defaultRowHeight="35.1" customHeight="1" x14ac:dyDescent="0.25"/>
  <cols>
    <col min="1" max="1" width="4.28515625" style="185" customWidth="1"/>
    <col min="2" max="2" width="6.28515625" style="188" customWidth="1"/>
    <col min="3" max="3" width="28.28515625" style="185" customWidth="1"/>
    <col min="4" max="4" width="11" style="6" customWidth="1"/>
    <col min="5" max="5" width="44.42578125" style="185" customWidth="1"/>
    <col min="6" max="6" width="13" style="166" customWidth="1"/>
    <col min="7" max="7" width="15.140625" style="166" customWidth="1"/>
    <col min="8" max="8" width="19.140625" style="166" customWidth="1"/>
    <col min="9" max="9" width="14.28515625" style="166" customWidth="1"/>
    <col min="10" max="10" width="28.140625" style="189" customWidth="1"/>
    <col min="11" max="11" width="13.85546875" style="185" customWidth="1"/>
    <col min="12" max="16384" width="9" style="185"/>
  </cols>
  <sheetData>
    <row r="1" spans="1:11" s="157" customFormat="1" ht="33" x14ac:dyDescent="0.25">
      <c r="B1" s="995" t="str">
        <f>'خرسانة مسلحة'!B1:J1</f>
        <v>تحليل اسعار</v>
      </c>
      <c r="C1" s="995"/>
      <c r="D1" s="995"/>
      <c r="E1" s="995"/>
      <c r="F1" s="995"/>
      <c r="G1" s="995"/>
      <c r="H1" s="995"/>
      <c r="I1" s="995"/>
      <c r="J1" s="995"/>
    </row>
    <row r="2" spans="1:11" ht="26.25" x14ac:dyDescent="0.25">
      <c r="B2" s="996" t="s">
        <v>186</v>
      </c>
      <c r="C2" s="996"/>
      <c r="D2" s="996"/>
      <c r="E2" s="996"/>
      <c r="F2" s="996"/>
      <c r="G2" s="996"/>
      <c r="H2" s="996"/>
      <c r="I2" s="996"/>
      <c r="J2" s="996"/>
    </row>
    <row r="3" spans="1:11" s="34" customFormat="1" ht="26.25" customHeight="1" thickBot="1" x14ac:dyDescent="0.3">
      <c r="A3" s="185"/>
      <c r="B3" s="185"/>
      <c r="C3" s="185"/>
      <c r="D3" s="185"/>
      <c r="E3" s="185"/>
      <c r="F3" s="185"/>
      <c r="G3" s="185"/>
      <c r="H3" s="185"/>
      <c r="I3" s="185"/>
      <c r="J3" s="185"/>
      <c r="K3" s="185"/>
    </row>
    <row r="4" spans="1:11" s="34" customFormat="1" ht="56.25" customHeight="1" thickBot="1" x14ac:dyDescent="0.3">
      <c r="C4" s="470"/>
      <c r="D4" s="470"/>
      <c r="E4" s="1107" t="s">
        <v>625</v>
      </c>
      <c r="F4" s="1107"/>
      <c r="G4" s="1107"/>
      <c r="H4" s="1107"/>
      <c r="I4" s="470"/>
      <c r="J4" s="380" t="s">
        <v>1171</v>
      </c>
    </row>
    <row r="5" spans="1:11" s="34" customFormat="1" ht="24.75" customHeight="1" x14ac:dyDescent="0.25">
      <c r="A5" s="185"/>
      <c r="B5" s="185"/>
      <c r="C5" s="185"/>
      <c r="D5" s="185"/>
      <c r="E5" s="185"/>
      <c r="F5" s="185"/>
      <c r="G5" s="185"/>
      <c r="H5" s="185"/>
      <c r="I5" s="185"/>
      <c r="J5" s="185"/>
    </row>
    <row r="6" spans="1:11" s="471" customFormat="1" ht="69.75" customHeight="1" x14ac:dyDescent="0.25">
      <c r="B6" s="472" t="s">
        <v>0</v>
      </c>
      <c r="C6" s="473" t="s">
        <v>1</v>
      </c>
      <c r="D6" s="1086" t="s">
        <v>2</v>
      </c>
      <c r="E6" s="1086"/>
      <c r="F6" s="473" t="s">
        <v>3</v>
      </c>
      <c r="G6" s="473" t="s">
        <v>4</v>
      </c>
      <c r="H6" s="473" t="s">
        <v>5</v>
      </c>
      <c r="I6" s="473" t="s">
        <v>6</v>
      </c>
      <c r="J6" s="225" t="s">
        <v>7</v>
      </c>
    </row>
    <row r="7" spans="1:11" s="268" customFormat="1" ht="33.75" x14ac:dyDescent="0.25">
      <c r="A7" s="502"/>
      <c r="B7" s="1109"/>
      <c r="C7" s="1108" t="s">
        <v>624</v>
      </c>
      <c r="D7" s="1097" t="s">
        <v>14</v>
      </c>
      <c r="E7" s="319" t="s">
        <v>18</v>
      </c>
      <c r="F7" s="485" t="s">
        <v>19</v>
      </c>
      <c r="G7" s="487">
        <f>'اسعار الخامات'!E7</f>
        <v>650</v>
      </c>
      <c r="H7" s="488">
        <f>15/1000</f>
        <v>1.4999999999999999E-2</v>
      </c>
      <c r="I7" s="490">
        <v>0.05</v>
      </c>
      <c r="J7" s="492">
        <f>H7*G7+(I7*H7*G7)</f>
        <v>10.237500000000001</v>
      </c>
      <c r="K7" s="471"/>
    </row>
    <row r="8" spans="1:11" s="268" customFormat="1" ht="33.75" x14ac:dyDescent="0.25">
      <c r="A8" s="502"/>
      <c r="B8" s="1110"/>
      <c r="C8" s="1108"/>
      <c r="D8" s="1097"/>
      <c r="E8" s="319" t="s">
        <v>21</v>
      </c>
      <c r="F8" s="485" t="s">
        <v>12</v>
      </c>
      <c r="G8" s="485">
        <f>'اسعار الخامات'!E9</f>
        <v>35</v>
      </c>
      <c r="H8" s="485">
        <v>3.5999999999999997E-2</v>
      </c>
      <c r="I8" s="490">
        <v>0.1</v>
      </c>
      <c r="J8" s="492">
        <f>H8*G8+(I8*H8*G8)</f>
        <v>1.3860000000000001</v>
      </c>
    </row>
    <row r="9" spans="1:11" s="268" customFormat="1" ht="33.75" x14ac:dyDescent="0.25">
      <c r="A9" s="502"/>
      <c r="B9" s="1110"/>
      <c r="C9" s="1108"/>
      <c r="D9" s="1097"/>
      <c r="E9" s="319" t="s">
        <v>442</v>
      </c>
      <c r="F9" s="485"/>
      <c r="G9" s="487"/>
      <c r="H9" s="489"/>
      <c r="I9" s="490"/>
      <c r="J9" s="492">
        <v>3</v>
      </c>
    </row>
    <row r="10" spans="1:11" s="268" customFormat="1" ht="33.75" x14ac:dyDescent="0.25">
      <c r="A10" s="502"/>
      <c r="B10" s="1110"/>
      <c r="C10" s="1108"/>
      <c r="D10" s="1097"/>
      <c r="E10" s="319" t="s">
        <v>15</v>
      </c>
      <c r="F10" s="485" t="s">
        <v>12</v>
      </c>
      <c r="G10" s="485">
        <f>'اسعار الخامات'!E12</f>
        <v>13</v>
      </c>
      <c r="H10" s="485">
        <f>1.75/50</f>
        <v>3.5000000000000003E-2</v>
      </c>
      <c r="I10" s="490">
        <v>0.1</v>
      </c>
      <c r="J10" s="492">
        <f>H10*G10+(I10*H10*G10)</f>
        <v>0.50050000000000006</v>
      </c>
    </row>
    <row r="11" spans="1:11" s="268" customFormat="1" ht="33.75" x14ac:dyDescent="0.25">
      <c r="A11" s="502"/>
      <c r="B11" s="1110"/>
      <c r="C11" s="1108"/>
      <c r="D11" s="319"/>
      <c r="E11" s="319" t="s">
        <v>446</v>
      </c>
      <c r="F11" s="485" t="s">
        <v>45</v>
      </c>
      <c r="G11" s="485"/>
      <c r="H11" s="485"/>
      <c r="I11" s="490"/>
      <c r="J11" s="492">
        <v>2.7</v>
      </c>
    </row>
    <row r="12" spans="1:11" s="268" customFormat="1" ht="33.75" x14ac:dyDescent="0.25">
      <c r="A12" s="502"/>
      <c r="B12" s="1111"/>
      <c r="C12" s="1108"/>
      <c r="D12" s="319" t="s">
        <v>11</v>
      </c>
      <c r="E12" s="319" t="s">
        <v>623</v>
      </c>
      <c r="F12" s="485" t="s">
        <v>45</v>
      </c>
      <c r="G12" s="485">
        <v>165</v>
      </c>
      <c r="H12" s="485">
        <v>1</v>
      </c>
      <c r="I12" s="485">
        <v>0</v>
      </c>
      <c r="J12" s="492">
        <f>H12*G12</f>
        <v>165</v>
      </c>
    </row>
    <row r="13" spans="1:11" s="268" customFormat="1" ht="51.75" customHeight="1" x14ac:dyDescent="0.25">
      <c r="A13" s="502"/>
      <c r="B13" s="466"/>
      <c r="C13" s="1036" t="s">
        <v>13</v>
      </c>
      <c r="D13" s="1036"/>
      <c r="E13" s="1036"/>
      <c r="F13" s="1036"/>
      <c r="G13" s="1036"/>
      <c r="H13" s="1036"/>
      <c r="I13" s="1036"/>
      <c r="J13" s="468">
        <f>SUM(J7:J12)</f>
        <v>182.82400000000001</v>
      </c>
    </row>
    <row r="14" spans="1:11" ht="35.1" customHeight="1" x14ac:dyDescent="0.25">
      <c r="A14" s="166"/>
      <c r="B14" s="166"/>
      <c r="C14" s="166"/>
      <c r="D14" s="166"/>
      <c r="E14" s="166"/>
      <c r="J14" s="166"/>
    </row>
    <row r="15" spans="1:11" ht="35.1" customHeight="1" x14ac:dyDescent="0.25">
      <c r="A15" s="166"/>
      <c r="B15" s="166"/>
      <c r="C15" s="166"/>
      <c r="D15" s="166"/>
      <c r="E15" s="166"/>
      <c r="J15" s="166"/>
    </row>
    <row r="16" spans="1:11" ht="35.1" customHeight="1" x14ac:dyDescent="0.25">
      <c r="A16" s="166"/>
      <c r="B16" s="166"/>
      <c r="C16" s="166"/>
      <c r="D16" s="166"/>
      <c r="E16" s="166"/>
      <c r="J16" s="166"/>
    </row>
    <row r="17" spans="1:10" ht="35.1" customHeight="1" x14ac:dyDescent="0.25">
      <c r="A17" s="166"/>
      <c r="B17" s="166"/>
      <c r="C17" s="166"/>
      <c r="D17" s="166"/>
      <c r="E17" s="166"/>
      <c r="J17" s="166"/>
    </row>
    <row r="18" spans="1:10" ht="35.1" customHeight="1" x14ac:dyDescent="0.25">
      <c r="A18" s="166"/>
      <c r="B18" s="166"/>
      <c r="C18" s="166"/>
      <c r="D18" s="166"/>
      <c r="E18" s="166"/>
      <c r="J18" s="166"/>
    </row>
    <row r="19" spans="1:10" ht="35.1" customHeight="1" x14ac:dyDescent="0.25">
      <c r="A19" s="166"/>
      <c r="B19" s="166"/>
      <c r="C19" s="166"/>
      <c r="D19" s="166"/>
      <c r="E19" s="166"/>
      <c r="J19" s="166"/>
    </row>
    <row r="20" spans="1:10" ht="35.1" customHeight="1" x14ac:dyDescent="0.25">
      <c r="A20" s="166"/>
      <c r="B20" s="166"/>
      <c r="C20" s="166"/>
      <c r="D20" s="166"/>
      <c r="E20" s="166"/>
      <c r="J20" s="166"/>
    </row>
    <row r="21" spans="1:10" ht="35.1" customHeight="1" x14ac:dyDescent="0.25">
      <c r="A21" s="166"/>
      <c r="B21" s="166"/>
      <c r="C21" s="166"/>
      <c r="D21" s="166"/>
      <c r="E21" s="166"/>
      <c r="J21" s="166"/>
    </row>
    <row r="22" spans="1:10" ht="35.1" customHeight="1" x14ac:dyDescent="0.25">
      <c r="A22" s="166"/>
      <c r="B22" s="166"/>
      <c r="C22" s="166"/>
      <c r="D22" s="166"/>
      <c r="E22" s="166"/>
      <c r="J22" s="166"/>
    </row>
    <row r="23" spans="1:10" ht="35.1" customHeight="1" x14ac:dyDescent="0.25">
      <c r="A23" s="166"/>
      <c r="B23" s="166"/>
      <c r="C23" s="166"/>
      <c r="D23" s="166"/>
      <c r="E23" s="166"/>
      <c r="J23" s="166"/>
    </row>
    <row r="24" spans="1:10" ht="35.1" customHeight="1" x14ac:dyDescent="0.25">
      <c r="A24" s="166"/>
      <c r="B24" s="166"/>
      <c r="C24" s="166"/>
      <c r="D24" s="166"/>
      <c r="E24" s="166"/>
      <c r="J24" s="166"/>
    </row>
    <row r="25" spans="1:10" ht="35.1" customHeight="1" x14ac:dyDescent="0.25">
      <c r="A25" s="166"/>
      <c r="B25" s="166"/>
      <c r="C25" s="166"/>
      <c r="D25" s="166"/>
      <c r="E25" s="166"/>
      <c r="J25" s="166"/>
    </row>
    <row r="26" spans="1:10" ht="35.1" customHeight="1" x14ac:dyDescent="0.25">
      <c r="A26" s="166"/>
      <c r="B26" s="166"/>
      <c r="C26" s="166"/>
      <c r="D26" s="166"/>
      <c r="E26" s="166"/>
      <c r="J26" s="166"/>
    </row>
    <row r="27" spans="1:10" ht="35.1" customHeight="1" x14ac:dyDescent="0.25">
      <c r="A27" s="166"/>
      <c r="B27" s="166"/>
      <c r="C27" s="166"/>
      <c r="D27" s="166"/>
      <c r="E27" s="166"/>
      <c r="J27" s="166"/>
    </row>
    <row r="28" spans="1:10" ht="35.1" customHeight="1" x14ac:dyDescent="0.25">
      <c r="A28" s="166"/>
      <c r="B28" s="166"/>
      <c r="C28" s="166"/>
      <c r="D28" s="166"/>
      <c r="E28" s="166"/>
      <c r="J28" s="166"/>
    </row>
    <row r="29" spans="1:10" ht="35.1" customHeight="1" x14ac:dyDescent="0.25">
      <c r="A29" s="166"/>
      <c r="B29" s="166"/>
      <c r="C29" s="166"/>
      <c r="D29" s="166"/>
      <c r="E29" s="166"/>
      <c r="J29" s="166"/>
    </row>
    <row r="30" spans="1:10" ht="35.1" customHeight="1" x14ac:dyDescent="0.25">
      <c r="A30" s="166"/>
      <c r="B30" s="166"/>
      <c r="C30" s="166"/>
      <c r="D30" s="166"/>
      <c r="E30" s="166"/>
      <c r="J30" s="166"/>
    </row>
    <row r="31" spans="1:10" ht="35.1" customHeight="1" x14ac:dyDescent="0.25">
      <c r="A31" s="166"/>
      <c r="B31" s="166"/>
      <c r="C31" s="166"/>
      <c r="D31" s="166"/>
      <c r="E31" s="166"/>
      <c r="J31" s="166"/>
    </row>
    <row r="32" spans="1:10" ht="35.1" customHeight="1" x14ac:dyDescent="0.25">
      <c r="A32" s="166"/>
      <c r="B32" s="166"/>
      <c r="C32" s="166"/>
      <c r="D32" s="166"/>
      <c r="E32" s="166"/>
      <c r="J32" s="166"/>
    </row>
    <row r="33" spans="1:10" ht="35.1" customHeight="1" x14ac:dyDescent="0.25">
      <c r="A33" s="166"/>
      <c r="B33" s="166"/>
      <c r="C33" s="166"/>
      <c r="D33" s="166"/>
      <c r="E33" s="166"/>
      <c r="J33" s="166"/>
    </row>
  </sheetData>
  <mergeCells count="8">
    <mergeCell ref="C7:C12"/>
    <mergeCell ref="D7:D10"/>
    <mergeCell ref="C13:I13"/>
    <mergeCell ref="B1:J1"/>
    <mergeCell ref="B2:J2"/>
    <mergeCell ref="D6:E6"/>
    <mergeCell ref="B7:B12"/>
    <mergeCell ref="E4:H4"/>
  </mergeCells>
  <hyperlinks>
    <hyperlink ref="J4" location="cover!A1" display="cover!A1" xr:uid="{00000000-0004-0000-0A00-000000000000}"/>
  </hyperlinks>
  <printOptions horizontalCentered="1" verticalCentered="1"/>
  <pageMargins left="0" right="0.23622047244094491" top="0" bottom="0" header="0.31496062992125984" footer="0.31496062992125984"/>
  <pageSetup paperSize="9" scale="91" orientation="landscape" r:id="rId1"/>
  <headerFooter>
    <oddFooter>&amp;L&amp;P&amp;Cتحليل اسعار بنود الاعمال مشروع امواج &amp;R&amp;D</oddFooter>
  </headerFooter>
  <colBreaks count="1" manualBreakCount="1">
    <brk id="1" max="240"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3" tint="0.79998168889431442"/>
  </sheetPr>
  <dimension ref="A1:O146"/>
  <sheetViews>
    <sheetView rightToLeft="1" zoomScale="40" zoomScaleNormal="40" workbookViewId="0">
      <pane xSplit="1" ySplit="13" topLeftCell="B14" activePane="bottomRight" state="frozen"/>
      <selection pane="topRight" activeCell="B1" sqref="B1"/>
      <selection pane="bottomLeft" activeCell="A13" sqref="A13"/>
      <selection pane="bottomRight" activeCell="J80" sqref="J80"/>
    </sheetView>
  </sheetViews>
  <sheetFormatPr defaultColWidth="11.7109375" defaultRowHeight="26.25" x14ac:dyDescent="0.4"/>
  <cols>
    <col min="1" max="1" width="2" style="195" customWidth="1"/>
    <col min="2" max="2" width="7.28515625" style="39" customWidth="1"/>
    <col min="3" max="3" width="43" style="195" customWidth="1"/>
    <col min="4" max="4" width="15.140625" style="195" customWidth="1"/>
    <col min="5" max="5" width="42.28515625" style="195" customWidth="1"/>
    <col min="6" max="6" width="14.5703125" style="195" customWidth="1"/>
    <col min="7" max="7" width="15.5703125" style="195" customWidth="1"/>
    <col min="8" max="8" width="21.85546875" style="196" customWidth="1"/>
    <col min="9" max="9" width="21.140625" style="195" customWidth="1"/>
    <col min="10" max="10" width="21.28515625" style="195" customWidth="1"/>
    <col min="11" max="11" width="1.5703125" style="195" hidden="1" customWidth="1"/>
    <col min="12" max="12" width="1.140625" style="195" hidden="1" customWidth="1"/>
    <col min="13" max="13" width="16.85546875" style="195" customWidth="1"/>
    <col min="14" max="14" width="11.7109375" style="195"/>
    <col min="15" max="15" width="85.28515625" style="195" customWidth="1"/>
    <col min="16" max="16384" width="11.7109375" style="195"/>
  </cols>
  <sheetData>
    <row r="1" spans="2:15" s="157" customFormat="1" ht="50.25" customHeight="1" thickBot="1" x14ac:dyDescent="0.3">
      <c r="B1" s="995" t="str">
        <f>'خرسانة مسلحة'!B1:J1</f>
        <v>تحليل اسعار</v>
      </c>
      <c r="C1" s="995"/>
      <c r="D1" s="995"/>
      <c r="E1" s="995"/>
      <c r="F1" s="995"/>
      <c r="G1" s="995"/>
      <c r="H1" s="995"/>
      <c r="I1" s="995"/>
      <c r="J1" s="995"/>
      <c r="K1" s="192"/>
      <c r="L1" s="193"/>
      <c r="M1" s="194"/>
    </row>
    <row r="2" spans="2:15" s="185" customFormat="1" ht="49.5" customHeight="1" thickBot="1" x14ac:dyDescent="0.3">
      <c r="B2" s="1124" t="s">
        <v>264</v>
      </c>
      <c r="C2" s="1124"/>
      <c r="D2" s="1124"/>
      <c r="E2" s="1124"/>
      <c r="F2" s="1124"/>
      <c r="G2" s="1124"/>
      <c r="H2" s="1124"/>
      <c r="I2" s="1124"/>
      <c r="J2" s="1124"/>
      <c r="K2" s="168"/>
      <c r="M2" s="380" t="s">
        <v>1171</v>
      </c>
    </row>
    <row r="3" spans="2:15" ht="6" customHeight="1" x14ac:dyDescent="0.4">
      <c r="M3" s="185"/>
    </row>
    <row r="4" spans="2:15" ht="19.5" customHeight="1" thickBot="1" x14ac:dyDescent="0.45">
      <c r="M4" s="185"/>
    </row>
    <row r="5" spans="2:15" s="268" customFormat="1" ht="50.25" customHeight="1" thickBot="1" x14ac:dyDescent="0.3">
      <c r="B5" s="608" t="s">
        <v>0</v>
      </c>
      <c r="C5" s="609" t="s">
        <v>1</v>
      </c>
      <c r="D5" s="1112" t="s">
        <v>2</v>
      </c>
      <c r="E5" s="1113"/>
      <c r="F5" s="609" t="s">
        <v>3</v>
      </c>
      <c r="G5" s="609" t="s">
        <v>4</v>
      </c>
      <c r="H5" s="609" t="s">
        <v>5</v>
      </c>
      <c r="I5" s="609" t="s">
        <v>6</v>
      </c>
      <c r="J5" s="610" t="s">
        <v>7</v>
      </c>
      <c r="K5" s="503"/>
      <c r="L5" s="504"/>
    </row>
    <row r="6" spans="2:15" s="514" customFormat="1" ht="102" hidden="1" thickBot="1" x14ac:dyDescent="0.55000000000000004">
      <c r="B6" s="505">
        <v>1</v>
      </c>
      <c r="C6" s="506" t="s">
        <v>65</v>
      </c>
      <c r="D6" s="1125" t="s">
        <v>14</v>
      </c>
      <c r="E6" s="507" t="s">
        <v>66</v>
      </c>
      <c r="F6" s="508" t="s">
        <v>12</v>
      </c>
      <c r="G6" s="509">
        <v>2100</v>
      </c>
      <c r="H6" s="510">
        <f>5.4*0.05*0.15</f>
        <v>4.0500000000000001E-2</v>
      </c>
      <c r="I6" s="511"/>
      <c r="J6" s="512">
        <f t="shared" ref="J6:J12" si="0">H6*G6</f>
        <v>85.05</v>
      </c>
      <c r="K6" s="513"/>
      <c r="L6" s="513"/>
      <c r="M6" s="268"/>
    </row>
    <row r="7" spans="2:15" s="514" customFormat="1" ht="102" hidden="1" thickBot="1" x14ac:dyDescent="0.55000000000000004">
      <c r="B7" s="515"/>
      <c r="C7" s="516" t="s">
        <v>67</v>
      </c>
      <c r="D7" s="1126"/>
      <c r="E7" s="517" t="s">
        <v>68</v>
      </c>
      <c r="F7" s="518" t="s">
        <v>12</v>
      </c>
      <c r="G7" s="519">
        <v>2100</v>
      </c>
      <c r="H7" s="520">
        <f>0.9*2.15*0.05</f>
        <v>9.6750000000000003E-2</v>
      </c>
      <c r="I7" s="521"/>
      <c r="J7" s="522">
        <f t="shared" si="0"/>
        <v>203.17500000000001</v>
      </c>
      <c r="K7" s="513"/>
      <c r="L7" s="513"/>
      <c r="M7" s="268"/>
    </row>
    <row r="8" spans="2:15" s="514" customFormat="1" ht="35.25" hidden="1" customHeight="1" thickBot="1" x14ac:dyDescent="0.55000000000000004">
      <c r="B8" s="515"/>
      <c r="C8" s="516" t="s">
        <v>131</v>
      </c>
      <c r="D8" s="1126"/>
      <c r="E8" s="517" t="s">
        <v>69</v>
      </c>
      <c r="F8" s="518" t="s">
        <v>70</v>
      </c>
      <c r="G8" s="518">
        <v>120</v>
      </c>
      <c r="H8" s="520">
        <v>1</v>
      </c>
      <c r="I8" s="521"/>
      <c r="J8" s="522">
        <f t="shared" si="0"/>
        <v>120</v>
      </c>
      <c r="K8" s="513"/>
      <c r="L8" s="513"/>
      <c r="M8" s="268"/>
    </row>
    <row r="9" spans="2:15" s="514" customFormat="1" ht="34.5" hidden="1" thickBot="1" x14ac:dyDescent="0.55000000000000004">
      <c r="B9" s="515"/>
      <c r="C9" s="516"/>
      <c r="D9" s="1127"/>
      <c r="E9" s="523" t="s">
        <v>71</v>
      </c>
      <c r="F9" s="524" t="s">
        <v>12</v>
      </c>
      <c r="G9" s="525">
        <v>2100</v>
      </c>
      <c r="H9" s="526">
        <f>5.5*0.07*0.0125</f>
        <v>4.8125000000000008E-3</v>
      </c>
      <c r="I9" s="527"/>
      <c r="J9" s="528">
        <f t="shared" si="0"/>
        <v>10.106250000000001</v>
      </c>
      <c r="K9" s="513"/>
      <c r="L9" s="513"/>
      <c r="M9" s="268"/>
    </row>
    <row r="10" spans="2:15" s="514" customFormat="1" ht="34.5" hidden="1" thickBot="1" x14ac:dyDescent="0.55000000000000004">
      <c r="B10" s="515"/>
      <c r="C10" s="529"/>
      <c r="D10" s="1128" t="s">
        <v>11</v>
      </c>
      <c r="E10" s="530" t="s">
        <v>72</v>
      </c>
      <c r="F10" s="531" t="s">
        <v>73</v>
      </c>
      <c r="G10" s="531">
        <v>120</v>
      </c>
      <c r="H10" s="532">
        <v>1</v>
      </c>
      <c r="I10" s="531"/>
      <c r="J10" s="533">
        <f t="shared" si="0"/>
        <v>120</v>
      </c>
      <c r="K10" s="513"/>
      <c r="L10" s="513"/>
      <c r="M10" s="268"/>
    </row>
    <row r="11" spans="2:15" s="514" customFormat="1" ht="34.5" hidden="1" thickBot="1" x14ac:dyDescent="0.55000000000000004">
      <c r="B11" s="515"/>
      <c r="C11" s="529"/>
      <c r="D11" s="1126"/>
      <c r="E11" s="534" t="s">
        <v>74</v>
      </c>
      <c r="F11" s="518" t="s">
        <v>73</v>
      </c>
      <c r="G11" s="518">
        <v>70</v>
      </c>
      <c r="H11" s="520">
        <v>1</v>
      </c>
      <c r="I11" s="521"/>
      <c r="J11" s="522">
        <f t="shared" si="0"/>
        <v>70</v>
      </c>
      <c r="K11" s="513"/>
      <c r="L11" s="513"/>
      <c r="M11" s="268"/>
    </row>
    <row r="12" spans="2:15" s="514" customFormat="1" ht="34.5" hidden="1" thickBot="1" x14ac:dyDescent="0.55000000000000004">
      <c r="B12" s="535"/>
      <c r="C12" s="536"/>
      <c r="D12" s="1129"/>
      <c r="E12" s="537" t="s">
        <v>75</v>
      </c>
      <c r="F12" s="538" t="s">
        <v>73</v>
      </c>
      <c r="G12" s="538">
        <v>35</v>
      </c>
      <c r="H12" s="539">
        <v>1</v>
      </c>
      <c r="I12" s="538"/>
      <c r="J12" s="540">
        <f t="shared" si="0"/>
        <v>35</v>
      </c>
      <c r="K12" s="513"/>
      <c r="L12" s="513"/>
      <c r="M12" s="268"/>
    </row>
    <row r="13" spans="2:15" s="514" customFormat="1" ht="26.25" hidden="1" customHeight="1" thickBot="1" x14ac:dyDescent="0.55000000000000004">
      <c r="B13" s="541"/>
      <c r="C13" s="1121" t="s">
        <v>13</v>
      </c>
      <c r="D13" s="1122"/>
      <c r="E13" s="1122"/>
      <c r="F13" s="1122"/>
      <c r="G13" s="1122"/>
      <c r="H13" s="1122"/>
      <c r="I13" s="1123"/>
      <c r="J13" s="542"/>
      <c r="K13" s="543">
        <f>+J13*1.25</f>
        <v>0</v>
      </c>
      <c r="L13" s="544"/>
      <c r="M13" s="268"/>
    </row>
    <row r="14" spans="2:15" s="514" customFormat="1" ht="102" thickBot="1" x14ac:dyDescent="0.55000000000000004">
      <c r="B14" s="505">
        <v>1</v>
      </c>
      <c r="C14" s="506" t="s">
        <v>227</v>
      </c>
      <c r="D14" s="1130" t="s">
        <v>14</v>
      </c>
      <c r="E14" s="545" t="s">
        <v>66</v>
      </c>
      <c r="F14" s="546" t="s">
        <v>12</v>
      </c>
      <c r="G14" s="547">
        <f>'اسعار الخامات'!E36</f>
        <v>2400</v>
      </c>
      <c r="H14" s="548">
        <f>5.4*0.05*0.15</f>
        <v>4.0500000000000001E-2</v>
      </c>
      <c r="I14" s="549"/>
      <c r="J14" s="512">
        <f t="shared" ref="J14:J25" si="1">H14*G14</f>
        <v>97.2</v>
      </c>
      <c r="K14" s="513"/>
      <c r="L14" s="513"/>
      <c r="M14" s="268"/>
      <c r="O14" s="795" t="s">
        <v>966</v>
      </c>
    </row>
    <row r="15" spans="2:15" s="514" customFormat="1" ht="94.5" customHeight="1" thickBot="1" x14ac:dyDescent="0.55000000000000004">
      <c r="B15" s="515"/>
      <c r="C15" s="516" t="s">
        <v>228</v>
      </c>
      <c r="D15" s="1131"/>
      <c r="E15" s="550" t="s">
        <v>68</v>
      </c>
      <c r="F15" s="551" t="s">
        <v>12</v>
      </c>
      <c r="G15" s="552">
        <f>'اسعار الخامات'!E36</f>
        <v>2400</v>
      </c>
      <c r="H15" s="553">
        <f>0.9*2.15*0.05</f>
        <v>9.6750000000000003E-2</v>
      </c>
      <c r="I15" s="554"/>
      <c r="J15" s="522">
        <f t="shared" si="1"/>
        <v>232.20000000000002</v>
      </c>
      <c r="K15" s="513"/>
      <c r="L15" s="513"/>
      <c r="O15" s="796" t="s">
        <v>967</v>
      </c>
    </row>
    <row r="16" spans="2:15" s="514" customFormat="1" ht="73.5" customHeight="1" thickBot="1" x14ac:dyDescent="0.55000000000000004">
      <c r="B16" s="515"/>
      <c r="C16" s="555" t="s">
        <v>309</v>
      </c>
      <c r="D16" s="1131"/>
      <c r="E16" s="550" t="s">
        <v>229</v>
      </c>
      <c r="F16" s="556" t="s">
        <v>70</v>
      </c>
      <c r="G16" s="557">
        <f>'اسعار الخامات'!E39</f>
        <v>0.66</v>
      </c>
      <c r="H16" s="553">
        <v>6</v>
      </c>
      <c r="I16" s="554"/>
      <c r="J16" s="522">
        <f t="shared" si="1"/>
        <v>3.96</v>
      </c>
      <c r="K16" s="513"/>
      <c r="L16" s="513"/>
      <c r="O16" s="796" t="s">
        <v>968</v>
      </c>
    </row>
    <row r="17" spans="2:15" s="514" customFormat="1" ht="73.5" customHeight="1" thickBot="1" x14ac:dyDescent="0.55000000000000004">
      <c r="B17" s="515"/>
      <c r="C17" s="516"/>
      <c r="D17" s="1132"/>
      <c r="E17" s="558" t="s">
        <v>230</v>
      </c>
      <c r="F17" s="556" t="s">
        <v>70</v>
      </c>
      <c r="G17" s="557">
        <f>'اسعار الخامات'!E40</f>
        <v>3.85</v>
      </c>
      <c r="H17" s="559">
        <v>4</v>
      </c>
      <c r="I17" s="560"/>
      <c r="J17" s="522">
        <f t="shared" si="1"/>
        <v>15.4</v>
      </c>
      <c r="K17" s="513"/>
      <c r="L17" s="513"/>
      <c r="O17" s="796" t="s">
        <v>969</v>
      </c>
    </row>
    <row r="18" spans="2:15" s="514" customFormat="1" ht="73.5" customHeight="1" thickBot="1" x14ac:dyDescent="0.55000000000000004">
      <c r="B18" s="515"/>
      <c r="C18" s="516"/>
      <c r="D18" s="1132"/>
      <c r="E18" s="558" t="s">
        <v>231</v>
      </c>
      <c r="F18" s="556" t="s">
        <v>70</v>
      </c>
      <c r="G18" s="557">
        <f>'اسعار الخامات'!E45:E45</f>
        <v>55</v>
      </c>
      <c r="H18" s="559">
        <v>1</v>
      </c>
      <c r="I18" s="560"/>
      <c r="J18" s="522">
        <f t="shared" si="1"/>
        <v>55</v>
      </c>
      <c r="K18" s="513"/>
      <c r="L18" s="513"/>
      <c r="O18" s="796" t="s">
        <v>970</v>
      </c>
    </row>
    <row r="19" spans="2:15" s="514" customFormat="1" ht="73.5" customHeight="1" thickBot="1" x14ac:dyDescent="0.55000000000000004">
      <c r="B19" s="515"/>
      <c r="C19" s="516"/>
      <c r="D19" s="1132"/>
      <c r="E19" s="558" t="s">
        <v>232</v>
      </c>
      <c r="F19" s="556" t="s">
        <v>70</v>
      </c>
      <c r="G19" s="557">
        <f>'اسعار الخامات'!E46</f>
        <v>33</v>
      </c>
      <c r="H19" s="559">
        <v>1</v>
      </c>
      <c r="I19" s="560"/>
      <c r="J19" s="522">
        <f t="shared" si="1"/>
        <v>33</v>
      </c>
      <c r="K19" s="513"/>
      <c r="L19" s="513"/>
      <c r="O19" s="796" t="s">
        <v>971</v>
      </c>
    </row>
    <row r="20" spans="2:15" s="514" customFormat="1" ht="73.5" customHeight="1" thickBot="1" x14ac:dyDescent="0.55000000000000004">
      <c r="B20" s="515"/>
      <c r="C20" s="516"/>
      <c r="D20" s="1132"/>
      <c r="E20" s="558" t="s">
        <v>233</v>
      </c>
      <c r="F20" s="556" t="s">
        <v>70</v>
      </c>
      <c r="G20" s="557">
        <v>22</v>
      </c>
      <c r="H20" s="559">
        <v>1</v>
      </c>
      <c r="I20" s="560"/>
      <c r="J20" s="522">
        <f t="shared" si="1"/>
        <v>22</v>
      </c>
      <c r="K20" s="513"/>
      <c r="L20" s="513"/>
      <c r="O20" s="796" t="s">
        <v>972</v>
      </c>
    </row>
    <row r="21" spans="2:15" s="514" customFormat="1" ht="34.5" thickBot="1" x14ac:dyDescent="0.55000000000000004">
      <c r="B21" s="515"/>
      <c r="C21" s="516"/>
      <c r="D21" s="1132"/>
      <c r="E21" s="550" t="s">
        <v>235</v>
      </c>
      <c r="F21" s="556" t="s">
        <v>194</v>
      </c>
      <c r="G21" s="556">
        <v>2</v>
      </c>
      <c r="H21" s="561">
        <v>1</v>
      </c>
      <c r="I21" s="554"/>
      <c r="J21" s="522">
        <f t="shared" si="1"/>
        <v>2</v>
      </c>
      <c r="K21" s="513"/>
      <c r="L21" s="513"/>
    </row>
    <row r="22" spans="2:15" s="514" customFormat="1" ht="34.5" thickBot="1" x14ac:dyDescent="0.55000000000000004">
      <c r="B22" s="515"/>
      <c r="C22" s="516"/>
      <c r="D22" s="1133"/>
      <c r="E22" s="562" t="s">
        <v>71</v>
      </c>
      <c r="F22" s="563" t="s">
        <v>12</v>
      </c>
      <c r="G22" s="557">
        <f>'اسعار الخامات'!E36</f>
        <v>2400</v>
      </c>
      <c r="H22" s="564">
        <f>5.5*0.07*0.0125</f>
        <v>4.8125000000000008E-3</v>
      </c>
      <c r="I22" s="565"/>
      <c r="J22" s="566">
        <f t="shared" si="1"/>
        <v>11.550000000000002</v>
      </c>
      <c r="K22" s="513"/>
      <c r="L22" s="513"/>
    </row>
    <row r="23" spans="2:15" s="514" customFormat="1" ht="34.5" thickBot="1" x14ac:dyDescent="0.55000000000000004">
      <c r="B23" s="515"/>
      <c r="C23" s="529"/>
      <c r="D23" s="1134" t="s">
        <v>11</v>
      </c>
      <c r="E23" s="567" t="s">
        <v>72</v>
      </c>
      <c r="F23" s="568" t="s">
        <v>73</v>
      </c>
      <c r="G23" s="568">
        <f>'اسعار المصنعيات'!D25</f>
        <v>170</v>
      </c>
      <c r="H23" s="569">
        <v>1</v>
      </c>
      <c r="I23" s="568"/>
      <c r="J23" s="533">
        <f t="shared" si="1"/>
        <v>170</v>
      </c>
      <c r="K23" s="513"/>
      <c r="L23" s="513"/>
    </row>
    <row r="24" spans="2:15" s="514" customFormat="1" ht="34.5" thickBot="1" x14ac:dyDescent="0.55000000000000004">
      <c r="B24" s="515"/>
      <c r="C24" s="529"/>
      <c r="D24" s="1131"/>
      <c r="E24" s="570" t="s">
        <v>74</v>
      </c>
      <c r="F24" s="556" t="s">
        <v>73</v>
      </c>
      <c r="G24" s="556">
        <f>'اسعار المصنعيات'!D47</f>
        <v>70</v>
      </c>
      <c r="H24" s="553">
        <v>1</v>
      </c>
      <c r="I24" s="554"/>
      <c r="J24" s="522">
        <f t="shared" si="1"/>
        <v>70</v>
      </c>
      <c r="K24" s="513"/>
      <c r="L24" s="513"/>
    </row>
    <row r="25" spans="2:15" s="514" customFormat="1" ht="34.5" thickBot="1" x14ac:dyDescent="0.55000000000000004">
      <c r="B25" s="535"/>
      <c r="C25" s="536"/>
      <c r="D25" s="1135"/>
      <c r="E25" s="571" t="s">
        <v>75</v>
      </c>
      <c r="F25" s="572" t="s">
        <v>73</v>
      </c>
      <c r="G25" s="572">
        <f>'اسعار المصنعيات'!D48</f>
        <v>50</v>
      </c>
      <c r="H25" s="573">
        <v>1</v>
      </c>
      <c r="I25" s="572"/>
      <c r="J25" s="540">
        <f t="shared" si="1"/>
        <v>50</v>
      </c>
      <c r="K25" s="513"/>
      <c r="L25" s="513"/>
    </row>
    <row r="26" spans="2:15" s="514" customFormat="1" ht="44.25" customHeight="1" thickBot="1" x14ac:dyDescent="0.55000000000000004">
      <c r="B26" s="541"/>
      <c r="C26" s="1114" t="s">
        <v>13</v>
      </c>
      <c r="D26" s="1115"/>
      <c r="E26" s="1115"/>
      <c r="F26" s="1115"/>
      <c r="G26" s="1115"/>
      <c r="H26" s="1115"/>
      <c r="I26" s="1116"/>
      <c r="J26" s="611">
        <f>SUM(J14:J25)</f>
        <v>762.31</v>
      </c>
      <c r="K26" s="543"/>
      <c r="L26" s="544"/>
    </row>
    <row r="27" spans="2:15" s="514" customFormat="1" ht="68.25" hidden="1" thickBot="1" x14ac:dyDescent="0.55000000000000004">
      <c r="B27" s="505">
        <v>2</v>
      </c>
      <c r="C27" s="506" t="s">
        <v>133</v>
      </c>
      <c r="D27" s="1136" t="s">
        <v>14</v>
      </c>
      <c r="E27" s="507" t="s">
        <v>66</v>
      </c>
      <c r="F27" s="508" t="s">
        <v>12</v>
      </c>
      <c r="G27" s="509">
        <v>2100</v>
      </c>
      <c r="H27" s="574">
        <f>5.4*0.05*0.15</f>
        <v>4.0500000000000001E-2</v>
      </c>
      <c r="I27" s="511"/>
      <c r="J27" s="512">
        <f t="shared" ref="J27:J34" si="2">H27*G27</f>
        <v>85.05</v>
      </c>
      <c r="K27" s="513"/>
      <c r="L27" s="513"/>
    </row>
    <row r="28" spans="2:15" s="514" customFormat="1" ht="28.5" hidden="1" customHeight="1" thickBot="1" x14ac:dyDescent="0.55000000000000004">
      <c r="B28" s="515"/>
      <c r="C28" s="516" t="s">
        <v>76</v>
      </c>
      <c r="D28" s="1137"/>
      <c r="E28" s="517" t="s">
        <v>77</v>
      </c>
      <c r="F28" s="518" t="s">
        <v>12</v>
      </c>
      <c r="G28" s="519">
        <v>2100</v>
      </c>
      <c r="H28" s="575">
        <f>2*2.15*0.05*0.1</f>
        <v>2.1500000000000002E-2</v>
      </c>
      <c r="I28" s="521"/>
      <c r="J28" s="522">
        <f t="shared" si="2"/>
        <v>45.150000000000006</v>
      </c>
      <c r="K28" s="513"/>
      <c r="L28" s="513"/>
    </row>
    <row r="29" spans="2:15" s="514" customFormat="1" ht="26.25" hidden="1" customHeight="1" thickBot="1" x14ac:dyDescent="0.55000000000000004">
      <c r="B29" s="515"/>
      <c r="C29" s="516" t="s">
        <v>78</v>
      </c>
      <c r="D29" s="1137"/>
      <c r="E29" s="517" t="s">
        <v>79</v>
      </c>
      <c r="F29" s="518" t="s">
        <v>12</v>
      </c>
      <c r="G29" s="519">
        <v>2100</v>
      </c>
      <c r="H29" s="575">
        <f>0.9*0.05*0.1</f>
        <v>4.5000000000000005E-3</v>
      </c>
      <c r="I29" s="521"/>
      <c r="J29" s="522">
        <f t="shared" si="2"/>
        <v>9.4500000000000011</v>
      </c>
      <c r="K29" s="513"/>
      <c r="L29" s="513"/>
    </row>
    <row r="30" spans="2:15" s="514" customFormat="1" ht="68.25" hidden="1" thickBot="1" x14ac:dyDescent="0.55000000000000004">
      <c r="B30" s="515"/>
      <c r="C30" s="516" t="s">
        <v>80</v>
      </c>
      <c r="D30" s="1137"/>
      <c r="E30" s="517" t="s">
        <v>134</v>
      </c>
      <c r="F30" s="518" t="s">
        <v>70</v>
      </c>
      <c r="G30" s="519">
        <v>45</v>
      </c>
      <c r="H30" s="575">
        <v>2</v>
      </c>
      <c r="I30" s="521"/>
      <c r="J30" s="522">
        <f t="shared" si="2"/>
        <v>90</v>
      </c>
      <c r="K30" s="513"/>
      <c r="L30" s="513"/>
    </row>
    <row r="31" spans="2:15" s="514" customFormat="1" ht="34.5" hidden="1" thickBot="1" x14ac:dyDescent="0.55000000000000004">
      <c r="B31" s="515"/>
      <c r="C31" s="516"/>
      <c r="D31" s="1137"/>
      <c r="E31" s="517" t="s">
        <v>69</v>
      </c>
      <c r="F31" s="518" t="s">
        <v>70</v>
      </c>
      <c r="G31" s="519">
        <v>80</v>
      </c>
      <c r="H31" s="575">
        <v>1</v>
      </c>
      <c r="I31" s="521"/>
      <c r="J31" s="522">
        <f t="shared" si="2"/>
        <v>80</v>
      </c>
      <c r="K31" s="513"/>
      <c r="L31" s="513"/>
    </row>
    <row r="32" spans="2:15" s="514" customFormat="1" ht="34.5" hidden="1" thickBot="1" x14ac:dyDescent="0.55000000000000004">
      <c r="B32" s="515"/>
      <c r="C32" s="516"/>
      <c r="D32" s="1137"/>
      <c r="E32" s="517" t="s">
        <v>71</v>
      </c>
      <c r="F32" s="518" t="s">
        <v>12</v>
      </c>
      <c r="G32" s="519">
        <v>2100</v>
      </c>
      <c r="H32" s="575">
        <f>5.5*0.07*0.0125</f>
        <v>4.8125000000000008E-3</v>
      </c>
      <c r="I32" s="521"/>
      <c r="J32" s="522">
        <f t="shared" si="2"/>
        <v>10.106250000000001</v>
      </c>
      <c r="K32" s="513"/>
      <c r="L32" s="513"/>
    </row>
    <row r="33" spans="2:13" s="514" customFormat="1" ht="34.5" hidden="1" thickBot="1" x14ac:dyDescent="0.55000000000000004">
      <c r="B33" s="515"/>
      <c r="C33" s="516"/>
      <c r="D33" s="1138"/>
      <c r="E33" s="523" t="s">
        <v>82</v>
      </c>
      <c r="F33" s="524" t="s">
        <v>12</v>
      </c>
      <c r="G33" s="525">
        <v>2100</v>
      </c>
      <c r="H33" s="526">
        <f>0.9*0.05*0.15</f>
        <v>6.7500000000000008E-3</v>
      </c>
      <c r="I33" s="527"/>
      <c r="J33" s="528">
        <f t="shared" si="2"/>
        <v>14.175000000000002</v>
      </c>
      <c r="K33" s="513"/>
      <c r="L33" s="513"/>
    </row>
    <row r="34" spans="2:13" s="514" customFormat="1" ht="34.5" hidden="1" thickBot="1" x14ac:dyDescent="0.55000000000000004">
      <c r="B34" s="515"/>
      <c r="C34" s="529"/>
      <c r="D34" s="1137" t="s">
        <v>11</v>
      </c>
      <c r="E34" s="530" t="s">
        <v>83</v>
      </c>
      <c r="F34" s="531" t="s">
        <v>73</v>
      </c>
      <c r="G34" s="531">
        <v>50</v>
      </c>
      <c r="H34" s="532">
        <v>1</v>
      </c>
      <c r="I34" s="531"/>
      <c r="J34" s="533">
        <f t="shared" si="2"/>
        <v>50</v>
      </c>
      <c r="K34" s="513"/>
      <c r="L34" s="513"/>
    </row>
    <row r="35" spans="2:13" s="514" customFormat="1" ht="34.5" hidden="1" thickBot="1" x14ac:dyDescent="0.55000000000000004">
      <c r="B35" s="515"/>
      <c r="C35" s="529"/>
      <c r="D35" s="1137"/>
      <c r="E35" s="534" t="s">
        <v>74</v>
      </c>
      <c r="F35" s="518" t="s">
        <v>73</v>
      </c>
      <c r="G35" s="518">
        <v>50</v>
      </c>
      <c r="H35" s="520">
        <v>1</v>
      </c>
      <c r="I35" s="521"/>
      <c r="J35" s="522">
        <v>50</v>
      </c>
      <c r="K35" s="513"/>
      <c r="L35" s="513"/>
    </row>
    <row r="36" spans="2:13" s="514" customFormat="1" ht="34.5" hidden="1" thickBot="1" x14ac:dyDescent="0.55000000000000004">
      <c r="B36" s="535"/>
      <c r="C36" s="536"/>
      <c r="D36" s="1139"/>
      <c r="E36" s="537" t="s">
        <v>75</v>
      </c>
      <c r="F36" s="538" t="s">
        <v>73</v>
      </c>
      <c r="G36" s="538">
        <v>25</v>
      </c>
      <c r="H36" s="539">
        <v>1</v>
      </c>
      <c r="I36" s="538"/>
      <c r="J36" s="540">
        <f>H36*G36</f>
        <v>25</v>
      </c>
      <c r="K36" s="513"/>
      <c r="L36" s="513"/>
    </row>
    <row r="37" spans="2:13" s="514" customFormat="1" ht="34.5" hidden="1" thickBot="1" x14ac:dyDescent="0.55000000000000004">
      <c r="B37" s="541"/>
      <c r="C37" s="1121" t="s">
        <v>13</v>
      </c>
      <c r="D37" s="1122"/>
      <c r="E37" s="1122"/>
      <c r="F37" s="1122"/>
      <c r="G37" s="1122"/>
      <c r="H37" s="1122"/>
      <c r="I37" s="1123"/>
      <c r="J37" s="542">
        <f>SUM(J27:J36)</f>
        <v>458.93124999999998</v>
      </c>
      <c r="K37" s="543"/>
      <c r="L37" s="544"/>
    </row>
    <row r="38" spans="2:13" ht="19.5" customHeight="1" thickBot="1" x14ac:dyDescent="0.45">
      <c r="M38" s="185"/>
    </row>
    <row r="39" spans="2:13" s="268" customFormat="1" ht="50.25" customHeight="1" thickBot="1" x14ac:dyDescent="0.3">
      <c r="B39" s="608" t="s">
        <v>0</v>
      </c>
      <c r="C39" s="609" t="s">
        <v>1</v>
      </c>
      <c r="D39" s="1112" t="s">
        <v>2</v>
      </c>
      <c r="E39" s="1113"/>
      <c r="F39" s="609" t="s">
        <v>3</v>
      </c>
      <c r="G39" s="609" t="s">
        <v>4</v>
      </c>
      <c r="H39" s="609" t="s">
        <v>5</v>
      </c>
      <c r="I39" s="609" t="s">
        <v>6</v>
      </c>
      <c r="J39" s="610" t="s">
        <v>7</v>
      </c>
      <c r="K39" s="503"/>
      <c r="L39" s="504"/>
    </row>
    <row r="40" spans="2:13" s="514" customFormat="1" ht="54.75" customHeight="1" thickBot="1" x14ac:dyDescent="0.55000000000000004">
      <c r="B40" s="505">
        <v>2</v>
      </c>
      <c r="C40" s="506" t="s">
        <v>135</v>
      </c>
      <c r="D40" s="1119" t="s">
        <v>14</v>
      </c>
      <c r="E40" s="545" t="s">
        <v>66</v>
      </c>
      <c r="F40" s="546" t="s">
        <v>12</v>
      </c>
      <c r="G40" s="546">
        <f>'اسعار الخامات'!E36</f>
        <v>2400</v>
      </c>
      <c r="H40" s="576">
        <f>5.3*0.05*0.15</f>
        <v>3.9750000000000001E-2</v>
      </c>
      <c r="I40" s="511"/>
      <c r="J40" s="512">
        <f>H40*G40</f>
        <v>95.4</v>
      </c>
      <c r="K40" s="513"/>
      <c r="L40" s="513"/>
    </row>
    <row r="41" spans="2:13" s="514" customFormat="1" ht="28.5" customHeight="1" thickBot="1" x14ac:dyDescent="0.55000000000000004">
      <c r="B41" s="515"/>
      <c r="C41" s="516" t="s">
        <v>76</v>
      </c>
      <c r="D41" s="1117"/>
      <c r="E41" s="550" t="s">
        <v>77</v>
      </c>
      <c r="F41" s="556" t="s">
        <v>12</v>
      </c>
      <c r="G41" s="563">
        <f>'اسعار الخامات'!E36</f>
        <v>2400</v>
      </c>
      <c r="H41" s="561">
        <f>2*2.15*0.05*0.1</f>
        <v>2.1500000000000002E-2</v>
      </c>
      <c r="I41" s="521"/>
      <c r="J41" s="522">
        <f t="shared" ref="J41:J53" si="3">H41*G41</f>
        <v>51.6</v>
      </c>
      <c r="K41" s="513"/>
      <c r="L41" s="513"/>
    </row>
    <row r="42" spans="2:13" s="514" customFormat="1" ht="26.25" customHeight="1" thickBot="1" x14ac:dyDescent="0.55000000000000004">
      <c r="B42" s="515"/>
      <c r="C42" s="516" t="s">
        <v>78</v>
      </c>
      <c r="D42" s="1117"/>
      <c r="E42" s="550" t="s">
        <v>79</v>
      </c>
      <c r="F42" s="556" t="s">
        <v>12</v>
      </c>
      <c r="G42" s="568">
        <f>'اسعار الخامات'!E36</f>
        <v>2400</v>
      </c>
      <c r="H42" s="561">
        <f>0.8*0.05*0.1</f>
        <v>4.000000000000001E-3</v>
      </c>
      <c r="I42" s="521"/>
      <c r="J42" s="522">
        <f t="shared" si="3"/>
        <v>9.6000000000000014</v>
      </c>
      <c r="K42" s="513"/>
      <c r="L42" s="513"/>
    </row>
    <row r="43" spans="2:13" s="514" customFormat="1" ht="68.25" thickBot="1" x14ac:dyDescent="0.55000000000000004">
      <c r="B43" s="515"/>
      <c r="C43" s="516" t="s">
        <v>80</v>
      </c>
      <c r="D43" s="1117"/>
      <c r="E43" s="550" t="s">
        <v>134</v>
      </c>
      <c r="F43" s="556" t="s">
        <v>70</v>
      </c>
      <c r="G43" s="556">
        <f>'اسعار الخامات'!E37</f>
        <v>45</v>
      </c>
      <c r="H43" s="561">
        <v>2</v>
      </c>
      <c r="I43" s="521"/>
      <c r="J43" s="522">
        <f t="shared" si="3"/>
        <v>90</v>
      </c>
      <c r="K43" s="513"/>
      <c r="L43" s="513"/>
    </row>
    <row r="44" spans="2:13" s="514" customFormat="1" ht="35.25" customHeight="1" thickBot="1" x14ac:dyDescent="0.55000000000000004">
      <c r="B44" s="515"/>
      <c r="C44" s="555" t="s">
        <v>309</v>
      </c>
      <c r="D44" s="1117"/>
      <c r="E44" s="550" t="s">
        <v>229</v>
      </c>
      <c r="F44" s="556" t="s">
        <v>70</v>
      </c>
      <c r="G44" s="563">
        <f>'اسعار الخامات'!E39</f>
        <v>0.66</v>
      </c>
      <c r="H44" s="553">
        <v>6</v>
      </c>
      <c r="I44" s="521"/>
      <c r="J44" s="522">
        <f t="shared" si="3"/>
        <v>3.96</v>
      </c>
      <c r="K44" s="513"/>
      <c r="L44" s="513"/>
    </row>
    <row r="45" spans="2:13" s="514" customFormat="1" ht="35.25" customHeight="1" thickBot="1" x14ac:dyDescent="0.55000000000000004">
      <c r="B45" s="515"/>
      <c r="C45" s="516"/>
      <c r="D45" s="1117"/>
      <c r="E45" s="558" t="s">
        <v>230</v>
      </c>
      <c r="F45" s="556" t="s">
        <v>70</v>
      </c>
      <c r="G45" s="557">
        <f>'اسعار الخامات'!E40</f>
        <v>3.85</v>
      </c>
      <c r="H45" s="559">
        <v>4</v>
      </c>
      <c r="I45" s="577"/>
      <c r="J45" s="522">
        <f t="shared" si="3"/>
        <v>15.4</v>
      </c>
      <c r="K45" s="513"/>
      <c r="L45" s="513"/>
    </row>
    <row r="46" spans="2:13" s="514" customFormat="1" ht="35.25" customHeight="1" thickBot="1" x14ac:dyDescent="0.55000000000000004">
      <c r="B46" s="515"/>
      <c r="C46" s="516"/>
      <c r="D46" s="1117"/>
      <c r="E46" s="558" t="s">
        <v>231</v>
      </c>
      <c r="F46" s="556" t="s">
        <v>70</v>
      </c>
      <c r="G46" s="557">
        <f>'اسعار الخامات'!E41</f>
        <v>27.5</v>
      </c>
      <c r="H46" s="559">
        <v>1</v>
      </c>
      <c r="I46" s="577"/>
      <c r="J46" s="522">
        <f t="shared" si="3"/>
        <v>27.5</v>
      </c>
      <c r="K46" s="513"/>
      <c r="L46" s="513"/>
      <c r="M46" s="578"/>
    </row>
    <row r="47" spans="2:13" s="514" customFormat="1" ht="35.25" customHeight="1" thickBot="1" x14ac:dyDescent="0.55000000000000004">
      <c r="B47" s="515"/>
      <c r="C47" s="516"/>
      <c r="D47" s="1117"/>
      <c r="E47" s="558" t="s">
        <v>234</v>
      </c>
      <c r="F47" s="556" t="s">
        <v>70</v>
      </c>
      <c r="G47" s="557">
        <f>'اسعار الخامات'!E42</f>
        <v>38.5</v>
      </c>
      <c r="H47" s="559">
        <v>1</v>
      </c>
      <c r="I47" s="577"/>
      <c r="J47" s="522">
        <f t="shared" si="3"/>
        <v>38.5</v>
      </c>
      <c r="K47" s="513"/>
      <c r="L47" s="513"/>
    </row>
    <row r="48" spans="2:13" s="514" customFormat="1" ht="34.5" thickBot="1" x14ac:dyDescent="0.55000000000000004">
      <c r="B48" s="515"/>
      <c r="C48" s="516"/>
      <c r="D48" s="1117"/>
      <c r="E48" s="550" t="s">
        <v>235</v>
      </c>
      <c r="F48" s="556" t="s">
        <v>194</v>
      </c>
      <c r="G48" s="556">
        <v>2</v>
      </c>
      <c r="H48" s="561">
        <v>1</v>
      </c>
      <c r="I48" s="521"/>
      <c r="J48" s="522">
        <f t="shared" si="3"/>
        <v>2</v>
      </c>
      <c r="K48" s="513"/>
      <c r="L48" s="513"/>
    </row>
    <row r="49" spans="2:13" s="514" customFormat="1" ht="34.5" thickBot="1" x14ac:dyDescent="0.55000000000000004">
      <c r="B49" s="515"/>
      <c r="C49" s="516"/>
      <c r="D49" s="1117"/>
      <c r="E49" s="550" t="s">
        <v>71</v>
      </c>
      <c r="F49" s="556" t="s">
        <v>12</v>
      </c>
      <c r="G49" s="556">
        <f>'اسعار الخامات'!E36</f>
        <v>2400</v>
      </c>
      <c r="H49" s="561">
        <f>5.4*0.07*0.0125</f>
        <v>4.7250000000000009E-3</v>
      </c>
      <c r="I49" s="521"/>
      <c r="J49" s="522">
        <f t="shared" si="3"/>
        <v>11.340000000000002</v>
      </c>
      <c r="K49" s="513"/>
      <c r="L49" s="513"/>
    </row>
    <row r="50" spans="2:13" s="514" customFormat="1" ht="34.5" thickBot="1" x14ac:dyDescent="0.55000000000000004">
      <c r="B50" s="515"/>
      <c r="C50" s="516"/>
      <c r="D50" s="1120"/>
      <c r="E50" s="562" t="s">
        <v>82</v>
      </c>
      <c r="F50" s="563" t="s">
        <v>12</v>
      </c>
      <c r="G50" s="563">
        <f>'اسعار الخامات'!E36</f>
        <v>2400</v>
      </c>
      <c r="H50" s="564">
        <f>0.8*0.05*0.15</f>
        <v>6.000000000000001E-3</v>
      </c>
      <c r="I50" s="579"/>
      <c r="J50" s="566">
        <f t="shared" si="3"/>
        <v>14.400000000000002</v>
      </c>
      <c r="K50" s="513"/>
      <c r="L50" s="513"/>
    </row>
    <row r="51" spans="2:13" s="514" customFormat="1" ht="34.5" thickBot="1" x14ac:dyDescent="0.55000000000000004">
      <c r="B51" s="515"/>
      <c r="C51" s="529"/>
      <c r="D51" s="1117" t="s">
        <v>11</v>
      </c>
      <c r="E51" s="567" t="s">
        <v>83</v>
      </c>
      <c r="F51" s="568" t="s">
        <v>73</v>
      </c>
      <c r="G51" s="568">
        <f>'اسعار المصنعيات'!D25</f>
        <v>170</v>
      </c>
      <c r="H51" s="569">
        <v>1</v>
      </c>
      <c r="I51" s="531"/>
      <c r="J51" s="533">
        <f t="shared" si="3"/>
        <v>170</v>
      </c>
      <c r="K51" s="513"/>
      <c r="L51" s="513"/>
    </row>
    <row r="52" spans="2:13" s="514" customFormat="1" ht="34.5" thickBot="1" x14ac:dyDescent="0.55000000000000004">
      <c r="B52" s="515"/>
      <c r="C52" s="529"/>
      <c r="D52" s="1117"/>
      <c r="E52" s="570" t="s">
        <v>74</v>
      </c>
      <c r="F52" s="556" t="s">
        <v>73</v>
      </c>
      <c r="G52" s="556">
        <f>'اسعار المصنعيات'!D49</f>
        <v>40</v>
      </c>
      <c r="H52" s="553">
        <v>1</v>
      </c>
      <c r="I52" s="521"/>
      <c r="J52" s="533">
        <f t="shared" si="3"/>
        <v>40</v>
      </c>
      <c r="K52" s="513"/>
      <c r="L52" s="513"/>
    </row>
    <row r="53" spans="2:13" s="514" customFormat="1" ht="34.5" thickBot="1" x14ac:dyDescent="0.55000000000000004">
      <c r="B53" s="535"/>
      <c r="C53" s="536"/>
      <c r="D53" s="1118"/>
      <c r="E53" s="571" t="s">
        <v>75</v>
      </c>
      <c r="F53" s="572" t="s">
        <v>73</v>
      </c>
      <c r="G53" s="572">
        <f>'اسعار المصنعيات'!D50</f>
        <v>50</v>
      </c>
      <c r="H53" s="573">
        <v>1</v>
      </c>
      <c r="I53" s="538"/>
      <c r="J53" s="533">
        <f t="shared" si="3"/>
        <v>50</v>
      </c>
      <c r="K53" s="513"/>
      <c r="L53" s="513"/>
    </row>
    <row r="54" spans="2:13" s="514" customFormat="1" ht="44.25" customHeight="1" thickBot="1" x14ac:dyDescent="0.55000000000000004">
      <c r="B54" s="541"/>
      <c r="C54" s="1114" t="s">
        <v>13</v>
      </c>
      <c r="D54" s="1115"/>
      <c r="E54" s="1115"/>
      <c r="F54" s="1115"/>
      <c r="G54" s="1115"/>
      <c r="H54" s="1115"/>
      <c r="I54" s="1116"/>
      <c r="J54" s="611">
        <f>SUM(J40:J53)</f>
        <v>619.69999999999993</v>
      </c>
      <c r="K54" s="543"/>
      <c r="L54" s="544"/>
    </row>
    <row r="55" spans="2:13" ht="19.5" customHeight="1" thickBot="1" x14ac:dyDescent="0.45">
      <c r="M55" s="185"/>
    </row>
    <row r="56" spans="2:13" s="268" customFormat="1" ht="50.25" customHeight="1" thickBot="1" x14ac:dyDescent="0.3">
      <c r="B56" s="608" t="s">
        <v>0</v>
      </c>
      <c r="C56" s="609" t="s">
        <v>1</v>
      </c>
      <c r="D56" s="1112" t="s">
        <v>2</v>
      </c>
      <c r="E56" s="1113"/>
      <c r="F56" s="609" t="s">
        <v>3</v>
      </c>
      <c r="G56" s="609" t="s">
        <v>4</v>
      </c>
      <c r="H56" s="609" t="s">
        <v>5</v>
      </c>
      <c r="I56" s="609" t="s">
        <v>6</v>
      </c>
      <c r="J56" s="610" t="s">
        <v>7</v>
      </c>
      <c r="K56" s="503"/>
      <c r="L56" s="504"/>
    </row>
    <row r="57" spans="2:13" s="514" customFormat="1" ht="54.75" customHeight="1" thickBot="1" x14ac:dyDescent="0.55000000000000004">
      <c r="B57" s="505">
        <v>2</v>
      </c>
      <c r="C57" s="506" t="s">
        <v>135</v>
      </c>
      <c r="D57" s="1119" t="s">
        <v>14</v>
      </c>
      <c r="E57" s="545" t="s">
        <v>66</v>
      </c>
      <c r="F57" s="546" t="s">
        <v>12</v>
      </c>
      <c r="G57" s="546">
        <f>'اسعار الخامات'!E36</f>
        <v>2400</v>
      </c>
      <c r="H57" s="574">
        <f>5.3*0.05*0.15</f>
        <v>3.9750000000000001E-2</v>
      </c>
      <c r="I57" s="511"/>
      <c r="J57" s="512">
        <f>H57*G57</f>
        <v>95.4</v>
      </c>
      <c r="K57" s="513"/>
      <c r="L57" s="513"/>
    </row>
    <row r="58" spans="2:13" s="514" customFormat="1" ht="28.5" customHeight="1" thickBot="1" x14ac:dyDescent="0.55000000000000004">
      <c r="B58" s="515"/>
      <c r="C58" s="516" t="s">
        <v>76</v>
      </c>
      <c r="D58" s="1117"/>
      <c r="E58" s="550" t="s">
        <v>77</v>
      </c>
      <c r="F58" s="556" t="s">
        <v>12</v>
      </c>
      <c r="G58" s="563">
        <f>'اسعار الخامات'!E36</f>
        <v>2400</v>
      </c>
      <c r="H58" s="575">
        <f>2*2.15*0.05*0.1</f>
        <v>2.1500000000000002E-2</v>
      </c>
      <c r="I58" s="521"/>
      <c r="J58" s="522">
        <f t="shared" ref="J58:J70" si="4">H58*G58</f>
        <v>51.6</v>
      </c>
      <c r="K58" s="513"/>
      <c r="L58" s="513"/>
    </row>
    <row r="59" spans="2:13" s="514" customFormat="1" ht="26.25" customHeight="1" thickBot="1" x14ac:dyDescent="0.55000000000000004">
      <c r="B59" s="515"/>
      <c r="C59" s="516" t="s">
        <v>78</v>
      </c>
      <c r="D59" s="1117"/>
      <c r="E59" s="550" t="s">
        <v>79</v>
      </c>
      <c r="F59" s="556" t="s">
        <v>12</v>
      </c>
      <c r="G59" s="568">
        <f>'اسعار الخامات'!E36</f>
        <v>2400</v>
      </c>
      <c r="H59" s="575">
        <f>0.8*0.05*0.1</f>
        <v>4.000000000000001E-3</v>
      </c>
      <c r="I59" s="521"/>
      <c r="J59" s="522">
        <f t="shared" si="4"/>
        <v>9.6000000000000014</v>
      </c>
      <c r="K59" s="513"/>
      <c r="L59" s="513"/>
    </row>
    <row r="60" spans="2:13" s="514" customFormat="1" ht="68.25" thickBot="1" x14ac:dyDescent="0.55000000000000004">
      <c r="B60" s="515"/>
      <c r="C60" s="516" t="s">
        <v>80</v>
      </c>
      <c r="D60" s="1117"/>
      <c r="E60" s="550" t="s">
        <v>134</v>
      </c>
      <c r="F60" s="556" t="s">
        <v>70</v>
      </c>
      <c r="G60" s="556">
        <f>'اسعار الخامات'!E37</f>
        <v>45</v>
      </c>
      <c r="H60" s="575">
        <v>2</v>
      </c>
      <c r="I60" s="521"/>
      <c r="J60" s="522">
        <f t="shared" si="4"/>
        <v>90</v>
      </c>
      <c r="K60" s="513"/>
      <c r="L60" s="513"/>
    </row>
    <row r="61" spans="2:13" s="514" customFormat="1" ht="35.25" customHeight="1" thickBot="1" x14ac:dyDescent="0.55000000000000004">
      <c r="B61" s="515"/>
      <c r="C61" s="580" t="s">
        <v>308</v>
      </c>
      <c r="D61" s="1117"/>
      <c r="E61" s="550" t="s">
        <v>229</v>
      </c>
      <c r="F61" s="556" t="s">
        <v>70</v>
      </c>
      <c r="G61" s="563">
        <f>G44</f>
        <v>0.66</v>
      </c>
      <c r="H61" s="520">
        <v>6</v>
      </c>
      <c r="I61" s="521"/>
      <c r="J61" s="522">
        <f t="shared" si="4"/>
        <v>3.96</v>
      </c>
      <c r="K61" s="513"/>
      <c r="L61" s="513"/>
    </row>
    <row r="62" spans="2:13" s="514" customFormat="1" ht="35.25" customHeight="1" thickBot="1" x14ac:dyDescent="0.55000000000000004">
      <c r="B62" s="515"/>
      <c r="C62" s="516"/>
      <c r="D62" s="1117"/>
      <c r="E62" s="558" t="s">
        <v>230</v>
      </c>
      <c r="F62" s="556" t="s">
        <v>70</v>
      </c>
      <c r="G62" s="557">
        <f>G45</f>
        <v>3.85</v>
      </c>
      <c r="H62" s="581">
        <v>4</v>
      </c>
      <c r="I62" s="577"/>
      <c r="J62" s="522">
        <f t="shared" si="4"/>
        <v>15.4</v>
      </c>
      <c r="K62" s="513"/>
      <c r="L62" s="513"/>
    </row>
    <row r="63" spans="2:13" s="514" customFormat="1" ht="35.25" customHeight="1" thickBot="1" x14ac:dyDescent="0.55000000000000004">
      <c r="B63" s="515"/>
      <c r="C63" s="516"/>
      <c r="D63" s="1117"/>
      <c r="E63" s="558" t="s">
        <v>231</v>
      </c>
      <c r="F63" s="556" t="s">
        <v>70</v>
      </c>
      <c r="G63" s="557">
        <f>G46</f>
        <v>27.5</v>
      </c>
      <c r="H63" s="581">
        <v>1</v>
      </c>
      <c r="I63" s="577"/>
      <c r="J63" s="522">
        <f t="shared" si="4"/>
        <v>27.5</v>
      </c>
      <c r="K63" s="513"/>
      <c r="L63" s="513"/>
      <c r="M63" s="578"/>
    </row>
    <row r="64" spans="2:13" s="514" customFormat="1" ht="35.25" customHeight="1" thickBot="1" x14ac:dyDescent="0.55000000000000004">
      <c r="B64" s="515"/>
      <c r="C64" s="516"/>
      <c r="D64" s="1117"/>
      <c r="E64" s="558" t="s">
        <v>234</v>
      </c>
      <c r="F64" s="556" t="s">
        <v>70</v>
      </c>
      <c r="G64" s="557">
        <f>G47</f>
        <v>38.5</v>
      </c>
      <c r="H64" s="581">
        <v>1</v>
      </c>
      <c r="I64" s="577"/>
      <c r="J64" s="522">
        <f t="shared" si="4"/>
        <v>38.5</v>
      </c>
      <c r="K64" s="513"/>
      <c r="L64" s="513"/>
    </row>
    <row r="65" spans="2:13" s="514" customFormat="1" ht="34.5" thickBot="1" x14ac:dyDescent="0.55000000000000004">
      <c r="B65" s="515"/>
      <c r="C65" s="516"/>
      <c r="D65" s="1117"/>
      <c r="E65" s="550" t="s">
        <v>235</v>
      </c>
      <c r="F65" s="556" t="s">
        <v>194</v>
      </c>
      <c r="G65" s="556">
        <f>G48</f>
        <v>2</v>
      </c>
      <c r="H65" s="575">
        <v>1</v>
      </c>
      <c r="I65" s="521"/>
      <c r="J65" s="522">
        <f t="shared" si="4"/>
        <v>2</v>
      </c>
      <c r="K65" s="513"/>
      <c r="L65" s="513"/>
    </row>
    <row r="66" spans="2:13" s="514" customFormat="1" ht="34.5" thickBot="1" x14ac:dyDescent="0.55000000000000004">
      <c r="B66" s="515"/>
      <c r="C66" s="516"/>
      <c r="D66" s="1117"/>
      <c r="E66" s="550" t="s">
        <v>71</v>
      </c>
      <c r="F66" s="556" t="s">
        <v>12</v>
      </c>
      <c r="G66" s="556">
        <f>'اسعار الخامات'!E36</f>
        <v>2400</v>
      </c>
      <c r="H66" s="575">
        <f>5.4*0.07*0.0125</f>
        <v>4.7250000000000009E-3</v>
      </c>
      <c r="I66" s="521"/>
      <c r="J66" s="522">
        <f t="shared" si="4"/>
        <v>11.340000000000002</v>
      </c>
      <c r="K66" s="513"/>
      <c r="L66" s="513"/>
    </row>
    <row r="67" spans="2:13" s="514" customFormat="1" ht="34.5" thickBot="1" x14ac:dyDescent="0.55000000000000004">
      <c r="B67" s="515"/>
      <c r="C67" s="516"/>
      <c r="D67" s="1120"/>
      <c r="E67" s="562" t="s">
        <v>82</v>
      </c>
      <c r="F67" s="563" t="s">
        <v>12</v>
      </c>
      <c r="G67" s="563">
        <f>'اسعار الخامات'!E36</f>
        <v>2400</v>
      </c>
      <c r="H67" s="582">
        <f>0.8*0.05*0.15</f>
        <v>6.000000000000001E-3</v>
      </c>
      <c r="I67" s="579"/>
      <c r="J67" s="566">
        <f t="shared" si="4"/>
        <v>14.400000000000002</v>
      </c>
      <c r="K67" s="513"/>
      <c r="L67" s="513"/>
    </row>
    <row r="68" spans="2:13" s="514" customFormat="1" ht="34.5" thickBot="1" x14ac:dyDescent="0.55000000000000004">
      <c r="B68" s="515"/>
      <c r="C68" s="529"/>
      <c r="D68" s="1117" t="s">
        <v>11</v>
      </c>
      <c r="E68" s="567" t="s">
        <v>83</v>
      </c>
      <c r="F68" s="568" t="s">
        <v>73</v>
      </c>
      <c r="G68" s="568">
        <v>60</v>
      </c>
      <c r="H68" s="532">
        <v>1</v>
      </c>
      <c r="I68" s="531"/>
      <c r="J68" s="533">
        <f t="shared" si="4"/>
        <v>60</v>
      </c>
      <c r="K68" s="513"/>
      <c r="L68" s="513"/>
    </row>
    <row r="69" spans="2:13" s="514" customFormat="1" ht="34.5" thickBot="1" x14ac:dyDescent="0.55000000000000004">
      <c r="B69" s="515"/>
      <c r="C69" s="529"/>
      <c r="D69" s="1117"/>
      <c r="E69" s="570" t="s">
        <v>74</v>
      </c>
      <c r="F69" s="556" t="s">
        <v>73</v>
      </c>
      <c r="G69" s="556">
        <f>'اسعار المصنعيات'!D49</f>
        <v>40</v>
      </c>
      <c r="H69" s="520">
        <v>1</v>
      </c>
      <c r="I69" s="521"/>
      <c r="J69" s="533">
        <f t="shared" si="4"/>
        <v>40</v>
      </c>
      <c r="K69" s="513"/>
      <c r="L69" s="513"/>
    </row>
    <row r="70" spans="2:13" s="514" customFormat="1" ht="34.5" thickBot="1" x14ac:dyDescent="0.55000000000000004">
      <c r="B70" s="535"/>
      <c r="C70" s="536"/>
      <c r="D70" s="1118"/>
      <c r="E70" s="571" t="s">
        <v>75</v>
      </c>
      <c r="F70" s="572" t="s">
        <v>73</v>
      </c>
      <c r="G70" s="572">
        <f>'اسعار المصنعيات'!D50</f>
        <v>50</v>
      </c>
      <c r="H70" s="539">
        <v>1</v>
      </c>
      <c r="I70" s="538"/>
      <c r="J70" s="533">
        <f t="shared" si="4"/>
        <v>50</v>
      </c>
      <c r="K70" s="513"/>
      <c r="L70" s="513"/>
    </row>
    <row r="71" spans="2:13" s="514" customFormat="1" ht="44.25" customHeight="1" thickBot="1" x14ac:dyDescent="0.55000000000000004">
      <c r="B71" s="541"/>
      <c r="C71" s="1114" t="s">
        <v>13</v>
      </c>
      <c r="D71" s="1115"/>
      <c r="E71" s="1115"/>
      <c r="F71" s="1115"/>
      <c r="G71" s="1115"/>
      <c r="H71" s="1115"/>
      <c r="I71" s="1116"/>
      <c r="J71" s="611">
        <f>SUM(J57:J70)</f>
        <v>509.69999999999993</v>
      </c>
      <c r="K71" s="543"/>
      <c r="L71" s="544"/>
    </row>
    <row r="72" spans="2:13" ht="19.5" customHeight="1" thickBot="1" x14ac:dyDescent="0.45">
      <c r="M72" s="185"/>
    </row>
    <row r="73" spans="2:13" s="268" customFormat="1" ht="50.25" customHeight="1" thickBot="1" x14ac:dyDescent="0.3">
      <c r="B73" s="608" t="s">
        <v>0</v>
      </c>
      <c r="C73" s="609" t="s">
        <v>1</v>
      </c>
      <c r="D73" s="1112" t="s">
        <v>2</v>
      </c>
      <c r="E73" s="1113"/>
      <c r="F73" s="609" t="s">
        <v>3</v>
      </c>
      <c r="G73" s="609" t="s">
        <v>4</v>
      </c>
      <c r="H73" s="609" t="s">
        <v>5</v>
      </c>
      <c r="I73" s="609" t="s">
        <v>6</v>
      </c>
      <c r="J73" s="610" t="s">
        <v>7</v>
      </c>
      <c r="K73" s="503"/>
      <c r="L73" s="504"/>
    </row>
    <row r="74" spans="2:13" s="514" customFormat="1" ht="68.25" thickBot="1" x14ac:dyDescent="0.55000000000000004">
      <c r="B74" s="505">
        <v>3</v>
      </c>
      <c r="C74" s="506" t="s">
        <v>226</v>
      </c>
      <c r="D74" s="1119" t="s">
        <v>14</v>
      </c>
      <c r="E74" s="545" t="s">
        <v>66</v>
      </c>
      <c r="F74" s="546" t="s">
        <v>12</v>
      </c>
      <c r="G74" s="583">
        <f>'اسعار الخامات'!E36</f>
        <v>2400</v>
      </c>
      <c r="H74" s="576">
        <f>5.2*0.05*0.15</f>
        <v>3.9E-2</v>
      </c>
      <c r="I74" s="511"/>
      <c r="J74" s="512">
        <f t="shared" ref="J74:J87" si="5">H74*G74</f>
        <v>93.6</v>
      </c>
      <c r="K74" s="513"/>
      <c r="L74" s="513"/>
    </row>
    <row r="75" spans="2:13" s="514" customFormat="1" ht="28.5" customHeight="1" thickBot="1" x14ac:dyDescent="0.55000000000000004">
      <c r="B75" s="515"/>
      <c r="C75" s="516" t="s">
        <v>76</v>
      </c>
      <c r="D75" s="1117"/>
      <c r="E75" s="550" t="s">
        <v>77</v>
      </c>
      <c r="F75" s="556" t="s">
        <v>12</v>
      </c>
      <c r="G75" s="557">
        <f>'اسعار الخامات'!E36</f>
        <v>2400</v>
      </c>
      <c r="H75" s="561">
        <f>2*2.15*0.05*0.1</f>
        <v>2.1500000000000002E-2</v>
      </c>
      <c r="I75" s="521"/>
      <c r="J75" s="522">
        <f t="shared" si="5"/>
        <v>51.6</v>
      </c>
      <c r="K75" s="513"/>
      <c r="L75" s="513"/>
    </row>
    <row r="76" spans="2:13" s="514" customFormat="1" ht="26.25" customHeight="1" thickBot="1" x14ac:dyDescent="0.55000000000000004">
      <c r="B76" s="515"/>
      <c r="C76" s="516" t="s">
        <v>78</v>
      </c>
      <c r="D76" s="1117"/>
      <c r="E76" s="550" t="s">
        <v>79</v>
      </c>
      <c r="F76" s="556" t="s">
        <v>12</v>
      </c>
      <c r="G76" s="568">
        <f>'اسعار الخامات'!E36</f>
        <v>2400</v>
      </c>
      <c r="H76" s="561">
        <f>0.7*0.05*0.1</f>
        <v>3.4999999999999996E-3</v>
      </c>
      <c r="I76" s="521"/>
      <c r="J76" s="522">
        <f t="shared" si="5"/>
        <v>8.3999999999999986</v>
      </c>
      <c r="K76" s="513"/>
      <c r="L76" s="513"/>
    </row>
    <row r="77" spans="2:13" s="514" customFormat="1" ht="68.25" thickBot="1" x14ac:dyDescent="0.55000000000000004">
      <c r="B77" s="515"/>
      <c r="C77" s="516" t="s">
        <v>80</v>
      </c>
      <c r="D77" s="1117"/>
      <c r="E77" s="550" t="s">
        <v>134</v>
      </c>
      <c r="F77" s="556" t="s">
        <v>70</v>
      </c>
      <c r="G77" s="556">
        <f>'اسعار الخامات'!E37</f>
        <v>45</v>
      </c>
      <c r="H77" s="561">
        <v>2</v>
      </c>
      <c r="I77" s="521"/>
      <c r="J77" s="522">
        <f t="shared" si="5"/>
        <v>90</v>
      </c>
      <c r="K77" s="513"/>
      <c r="L77" s="513"/>
    </row>
    <row r="78" spans="2:13" s="514" customFormat="1" ht="35.25" customHeight="1" thickBot="1" x14ac:dyDescent="0.55000000000000004">
      <c r="B78" s="515"/>
      <c r="C78" s="555" t="s">
        <v>309</v>
      </c>
      <c r="D78" s="1117"/>
      <c r="E78" s="550" t="s">
        <v>229</v>
      </c>
      <c r="F78" s="556" t="s">
        <v>70</v>
      </c>
      <c r="G78" s="563">
        <f>'اسعار الخامات'!E39</f>
        <v>0.66</v>
      </c>
      <c r="H78" s="553">
        <v>6</v>
      </c>
      <c r="I78" s="521"/>
      <c r="J78" s="522">
        <f t="shared" si="5"/>
        <v>3.96</v>
      </c>
      <c r="K78" s="513"/>
      <c r="L78" s="513"/>
    </row>
    <row r="79" spans="2:13" s="514" customFormat="1" ht="35.25" customHeight="1" thickBot="1" x14ac:dyDescent="0.55000000000000004">
      <c r="B79" s="515"/>
      <c r="C79" s="516"/>
      <c r="D79" s="1117"/>
      <c r="E79" s="558" t="s">
        <v>230</v>
      </c>
      <c r="F79" s="556" t="s">
        <v>70</v>
      </c>
      <c r="G79" s="557">
        <f>'اسعار الخامات'!E40</f>
        <v>3.85</v>
      </c>
      <c r="H79" s="559">
        <v>4</v>
      </c>
      <c r="I79" s="577"/>
      <c r="J79" s="522">
        <f t="shared" si="5"/>
        <v>15.4</v>
      </c>
      <c r="K79" s="513"/>
      <c r="L79" s="513"/>
    </row>
    <row r="80" spans="2:13" s="514" customFormat="1" ht="35.25" customHeight="1" thickBot="1" x14ac:dyDescent="0.55000000000000004">
      <c r="B80" s="515"/>
      <c r="C80" s="516"/>
      <c r="D80" s="1117"/>
      <c r="E80" s="558" t="s">
        <v>231</v>
      </c>
      <c r="F80" s="556" t="s">
        <v>70</v>
      </c>
      <c r="G80" s="557">
        <f>'اسعار الخامات'!E43</f>
        <v>29.7</v>
      </c>
      <c r="H80" s="559">
        <v>1</v>
      </c>
      <c r="I80" s="577"/>
      <c r="J80" s="522">
        <f t="shared" si="5"/>
        <v>29.7</v>
      </c>
      <c r="K80" s="513"/>
      <c r="L80" s="513"/>
      <c r="M80" s="578"/>
    </row>
    <row r="81" spans="2:13" s="514" customFormat="1" ht="35.25" customHeight="1" thickBot="1" x14ac:dyDescent="0.55000000000000004">
      <c r="B81" s="515"/>
      <c r="C81" s="516"/>
      <c r="D81" s="1117"/>
      <c r="E81" s="558" t="s">
        <v>236</v>
      </c>
      <c r="F81" s="556" t="s">
        <v>70</v>
      </c>
      <c r="G81" s="557">
        <f>'اسعار الخامات'!E44</f>
        <v>40.700000000000003</v>
      </c>
      <c r="H81" s="559">
        <v>1</v>
      </c>
      <c r="I81" s="577"/>
      <c r="J81" s="522">
        <f t="shared" si="5"/>
        <v>40.700000000000003</v>
      </c>
      <c r="K81" s="513"/>
      <c r="L81" s="513"/>
    </row>
    <row r="82" spans="2:13" s="514" customFormat="1" ht="34.5" thickBot="1" x14ac:dyDescent="0.55000000000000004">
      <c r="B82" s="515"/>
      <c r="C82" s="516"/>
      <c r="D82" s="1117"/>
      <c r="E82" s="550" t="s">
        <v>235</v>
      </c>
      <c r="F82" s="556" t="s">
        <v>194</v>
      </c>
      <c r="G82" s="556">
        <v>2</v>
      </c>
      <c r="H82" s="561">
        <v>1</v>
      </c>
      <c r="I82" s="521"/>
      <c r="J82" s="522">
        <f t="shared" si="5"/>
        <v>2</v>
      </c>
      <c r="K82" s="513"/>
      <c r="L82" s="513"/>
    </row>
    <row r="83" spans="2:13" s="514" customFormat="1" ht="34.5" thickBot="1" x14ac:dyDescent="0.55000000000000004">
      <c r="B83" s="515"/>
      <c r="C83" s="516"/>
      <c r="D83" s="1117"/>
      <c r="E83" s="550" t="s">
        <v>71</v>
      </c>
      <c r="F83" s="556" t="s">
        <v>12</v>
      </c>
      <c r="G83" s="556">
        <f>'اسعار الخامات'!E36</f>
        <v>2400</v>
      </c>
      <c r="H83" s="561">
        <f>5.3*0.07*0.0125</f>
        <v>4.6375000000000001E-3</v>
      </c>
      <c r="I83" s="521"/>
      <c r="J83" s="522">
        <f t="shared" si="5"/>
        <v>11.13</v>
      </c>
      <c r="K83" s="513"/>
      <c r="L83" s="513"/>
    </row>
    <row r="84" spans="2:13" s="514" customFormat="1" ht="34.5" thickBot="1" x14ac:dyDescent="0.55000000000000004">
      <c r="B84" s="515"/>
      <c r="C84" s="516"/>
      <c r="D84" s="1120"/>
      <c r="E84" s="562" t="s">
        <v>82</v>
      </c>
      <c r="F84" s="563" t="s">
        <v>12</v>
      </c>
      <c r="G84" s="563">
        <f>'اسعار الخامات'!E36</f>
        <v>2400</v>
      </c>
      <c r="H84" s="564">
        <f>0.7*0.05*0.15</f>
        <v>5.2499999999999995E-3</v>
      </c>
      <c r="I84" s="579"/>
      <c r="J84" s="566">
        <f t="shared" si="5"/>
        <v>12.599999999999998</v>
      </c>
      <c r="K84" s="513"/>
      <c r="L84" s="513"/>
    </row>
    <row r="85" spans="2:13" s="514" customFormat="1" ht="34.5" thickBot="1" x14ac:dyDescent="0.55000000000000004">
      <c r="B85" s="515"/>
      <c r="C85" s="529"/>
      <c r="D85" s="1117" t="s">
        <v>11</v>
      </c>
      <c r="E85" s="567" t="s">
        <v>83</v>
      </c>
      <c r="F85" s="568" t="s">
        <v>73</v>
      </c>
      <c r="G85" s="568">
        <f>'اسعار المصنعيات'!D25</f>
        <v>170</v>
      </c>
      <c r="H85" s="569">
        <v>1</v>
      </c>
      <c r="I85" s="531"/>
      <c r="J85" s="533">
        <f t="shared" si="5"/>
        <v>170</v>
      </c>
      <c r="K85" s="513"/>
      <c r="L85" s="513"/>
    </row>
    <row r="86" spans="2:13" s="514" customFormat="1" ht="34.5" thickBot="1" x14ac:dyDescent="0.55000000000000004">
      <c r="B86" s="515"/>
      <c r="C86" s="529"/>
      <c r="D86" s="1117"/>
      <c r="E86" s="570" t="s">
        <v>74</v>
      </c>
      <c r="F86" s="556" t="s">
        <v>73</v>
      </c>
      <c r="G86" s="556">
        <f>'اسعار المصنعيات'!D49</f>
        <v>40</v>
      </c>
      <c r="H86" s="553">
        <v>1</v>
      </c>
      <c r="I86" s="521"/>
      <c r="J86" s="533">
        <f t="shared" si="5"/>
        <v>40</v>
      </c>
      <c r="K86" s="513"/>
      <c r="L86" s="513"/>
      <c r="M86" s="578">
        <f>J88-J80-J81+J18+J19+J20</f>
        <v>658.68999999999983</v>
      </c>
    </row>
    <row r="87" spans="2:13" s="514" customFormat="1" ht="34.5" thickBot="1" x14ac:dyDescent="0.55000000000000004">
      <c r="B87" s="535"/>
      <c r="C87" s="536"/>
      <c r="D87" s="1118"/>
      <c r="E87" s="571" t="s">
        <v>75</v>
      </c>
      <c r="F87" s="572" t="s">
        <v>73</v>
      </c>
      <c r="G87" s="572">
        <f>'اسعار المصنعيات'!D50</f>
        <v>50</v>
      </c>
      <c r="H87" s="573">
        <v>1</v>
      </c>
      <c r="I87" s="538"/>
      <c r="J87" s="540">
        <f t="shared" si="5"/>
        <v>50</v>
      </c>
      <c r="K87" s="513"/>
      <c r="L87" s="513"/>
    </row>
    <row r="88" spans="2:13" s="514" customFormat="1" ht="44.25" customHeight="1" thickBot="1" x14ac:dyDescent="0.55000000000000004">
      <c r="B88" s="541"/>
      <c r="C88" s="1114" t="s">
        <v>13</v>
      </c>
      <c r="D88" s="1115"/>
      <c r="E88" s="1115"/>
      <c r="F88" s="1115"/>
      <c r="G88" s="1115"/>
      <c r="H88" s="1115"/>
      <c r="I88" s="1116"/>
      <c r="J88" s="611">
        <f>SUM(J74:J87)</f>
        <v>619.08999999999992</v>
      </c>
      <c r="K88" s="543"/>
      <c r="L88" s="544"/>
    </row>
    <row r="89" spans="2:13" ht="19.5" customHeight="1" thickBot="1" x14ac:dyDescent="0.45">
      <c r="M89" s="185"/>
    </row>
    <row r="90" spans="2:13" s="268" customFormat="1" ht="50.25" customHeight="1" thickBot="1" x14ac:dyDescent="0.3">
      <c r="B90" s="608" t="s">
        <v>0</v>
      </c>
      <c r="C90" s="609" t="s">
        <v>1</v>
      </c>
      <c r="D90" s="1112" t="s">
        <v>2</v>
      </c>
      <c r="E90" s="1113"/>
      <c r="F90" s="609" t="s">
        <v>3</v>
      </c>
      <c r="G90" s="609" t="s">
        <v>4</v>
      </c>
      <c r="H90" s="609" t="s">
        <v>5</v>
      </c>
      <c r="I90" s="609" t="s">
        <v>6</v>
      </c>
      <c r="J90" s="610" t="s">
        <v>7</v>
      </c>
      <c r="K90" s="503"/>
      <c r="L90" s="504"/>
    </row>
    <row r="91" spans="2:13" s="514" customFormat="1" ht="68.25" thickBot="1" x14ac:dyDescent="0.55000000000000004">
      <c r="B91" s="505">
        <v>3</v>
      </c>
      <c r="C91" s="506" t="s">
        <v>226</v>
      </c>
      <c r="D91" s="1119" t="s">
        <v>14</v>
      </c>
      <c r="E91" s="545" t="s">
        <v>66</v>
      </c>
      <c r="F91" s="546" t="s">
        <v>12</v>
      </c>
      <c r="G91" s="583">
        <f>'اسعار الخامات'!E36</f>
        <v>2400</v>
      </c>
      <c r="H91" s="576">
        <f>5.2*0.05*0.15</f>
        <v>3.9E-2</v>
      </c>
      <c r="I91" s="511"/>
      <c r="J91" s="512">
        <f t="shared" ref="J91:J104" si="6">H91*G91</f>
        <v>93.6</v>
      </c>
      <c r="K91" s="513"/>
      <c r="L91" s="513"/>
    </row>
    <row r="92" spans="2:13" s="514" customFormat="1" ht="28.5" customHeight="1" thickBot="1" x14ac:dyDescent="0.55000000000000004">
      <c r="B92" s="515"/>
      <c r="C92" s="516" t="s">
        <v>76</v>
      </c>
      <c r="D92" s="1117"/>
      <c r="E92" s="550" t="s">
        <v>77</v>
      </c>
      <c r="F92" s="556" t="s">
        <v>12</v>
      </c>
      <c r="G92" s="557">
        <f>'اسعار الخامات'!E36</f>
        <v>2400</v>
      </c>
      <c r="H92" s="561">
        <f>2*2.15*0.05*0.1</f>
        <v>2.1500000000000002E-2</v>
      </c>
      <c r="I92" s="521"/>
      <c r="J92" s="522">
        <f t="shared" si="6"/>
        <v>51.6</v>
      </c>
      <c r="K92" s="513"/>
      <c r="L92" s="513"/>
    </row>
    <row r="93" spans="2:13" s="514" customFormat="1" ht="26.25" customHeight="1" thickBot="1" x14ac:dyDescent="0.55000000000000004">
      <c r="B93" s="515"/>
      <c r="C93" s="516" t="s">
        <v>78</v>
      </c>
      <c r="D93" s="1117"/>
      <c r="E93" s="550" t="s">
        <v>79</v>
      </c>
      <c r="F93" s="556" t="s">
        <v>12</v>
      </c>
      <c r="G93" s="568">
        <f>'اسعار الخامات'!E36</f>
        <v>2400</v>
      </c>
      <c r="H93" s="561">
        <f>0.7*0.05*0.1</f>
        <v>3.4999999999999996E-3</v>
      </c>
      <c r="I93" s="521"/>
      <c r="J93" s="522">
        <f t="shared" si="6"/>
        <v>8.3999999999999986</v>
      </c>
      <c r="K93" s="513"/>
      <c r="L93" s="513"/>
    </row>
    <row r="94" spans="2:13" s="514" customFormat="1" ht="68.25" thickBot="1" x14ac:dyDescent="0.55000000000000004">
      <c r="B94" s="515"/>
      <c r="C94" s="516" t="s">
        <v>80</v>
      </c>
      <c r="D94" s="1117"/>
      <c r="E94" s="550" t="s">
        <v>134</v>
      </c>
      <c r="F94" s="556" t="s">
        <v>70</v>
      </c>
      <c r="G94" s="556">
        <f>'اسعار الخامات'!E37</f>
        <v>45</v>
      </c>
      <c r="H94" s="561">
        <v>2</v>
      </c>
      <c r="I94" s="521"/>
      <c r="J94" s="522">
        <f t="shared" si="6"/>
        <v>90</v>
      </c>
      <c r="K94" s="513"/>
      <c r="L94" s="513"/>
    </row>
    <row r="95" spans="2:13" s="514" customFormat="1" ht="35.25" customHeight="1" thickBot="1" x14ac:dyDescent="0.55000000000000004">
      <c r="B95" s="515"/>
      <c r="C95" s="580" t="s">
        <v>308</v>
      </c>
      <c r="D95" s="1117"/>
      <c r="E95" s="550" t="s">
        <v>229</v>
      </c>
      <c r="F95" s="556" t="s">
        <v>70</v>
      </c>
      <c r="G95" s="563">
        <f>G78</f>
        <v>0.66</v>
      </c>
      <c r="H95" s="553">
        <v>6</v>
      </c>
      <c r="I95" s="521"/>
      <c r="J95" s="522">
        <f t="shared" si="6"/>
        <v>3.96</v>
      </c>
      <c r="K95" s="513"/>
      <c r="L95" s="513"/>
    </row>
    <row r="96" spans="2:13" s="514" customFormat="1" ht="35.25" customHeight="1" thickBot="1" x14ac:dyDescent="0.55000000000000004">
      <c r="B96" s="515"/>
      <c r="C96" s="516"/>
      <c r="D96" s="1117"/>
      <c r="E96" s="558" t="s">
        <v>230</v>
      </c>
      <c r="F96" s="556" t="s">
        <v>70</v>
      </c>
      <c r="G96" s="557">
        <f>G79</f>
        <v>3.85</v>
      </c>
      <c r="H96" s="559">
        <v>4</v>
      </c>
      <c r="I96" s="577"/>
      <c r="J96" s="522">
        <f t="shared" si="6"/>
        <v>15.4</v>
      </c>
      <c r="K96" s="513"/>
      <c r="L96" s="513"/>
    </row>
    <row r="97" spans="1:13" s="514" customFormat="1" ht="35.25" customHeight="1" thickBot="1" x14ac:dyDescent="0.55000000000000004">
      <c r="B97" s="515"/>
      <c r="C97" s="516"/>
      <c r="D97" s="1117"/>
      <c r="E97" s="558" t="s">
        <v>231</v>
      </c>
      <c r="F97" s="556" t="s">
        <v>70</v>
      </c>
      <c r="G97" s="557">
        <f>G80</f>
        <v>29.7</v>
      </c>
      <c r="H97" s="559">
        <v>1</v>
      </c>
      <c r="I97" s="577"/>
      <c r="J97" s="522">
        <f t="shared" si="6"/>
        <v>29.7</v>
      </c>
      <c r="K97" s="513"/>
      <c r="L97" s="513"/>
      <c r="M97" s="578"/>
    </row>
    <row r="98" spans="1:13" s="514" customFormat="1" ht="35.25" customHeight="1" thickBot="1" x14ac:dyDescent="0.55000000000000004">
      <c r="B98" s="515"/>
      <c r="C98" s="516"/>
      <c r="D98" s="1117"/>
      <c r="E98" s="558" t="s">
        <v>236</v>
      </c>
      <c r="F98" s="556" t="s">
        <v>70</v>
      </c>
      <c r="G98" s="557">
        <f>G81</f>
        <v>40.700000000000003</v>
      </c>
      <c r="H98" s="559">
        <v>1</v>
      </c>
      <c r="I98" s="577"/>
      <c r="J98" s="522">
        <f t="shared" si="6"/>
        <v>40.700000000000003</v>
      </c>
      <c r="K98" s="513"/>
      <c r="L98" s="513"/>
    </row>
    <row r="99" spans="1:13" s="514" customFormat="1" ht="34.5" thickBot="1" x14ac:dyDescent="0.55000000000000004">
      <c r="B99" s="515"/>
      <c r="C99" s="516"/>
      <c r="D99" s="1117"/>
      <c r="E99" s="550" t="s">
        <v>235</v>
      </c>
      <c r="F99" s="556" t="s">
        <v>194</v>
      </c>
      <c r="G99" s="556">
        <v>2</v>
      </c>
      <c r="H99" s="561">
        <v>1</v>
      </c>
      <c r="I99" s="521"/>
      <c r="J99" s="522">
        <f t="shared" si="6"/>
        <v>2</v>
      </c>
      <c r="K99" s="513"/>
      <c r="L99" s="513"/>
    </row>
    <row r="100" spans="1:13" s="514" customFormat="1" ht="34.5" thickBot="1" x14ac:dyDescent="0.55000000000000004">
      <c r="B100" s="515"/>
      <c r="C100" s="516"/>
      <c r="D100" s="1117"/>
      <c r="E100" s="550" t="s">
        <v>71</v>
      </c>
      <c r="F100" s="556" t="s">
        <v>12</v>
      </c>
      <c r="G100" s="556">
        <f>'اسعار الخامات'!E36</f>
        <v>2400</v>
      </c>
      <c r="H100" s="561">
        <f>5.3*0.07*0.0125</f>
        <v>4.6375000000000001E-3</v>
      </c>
      <c r="I100" s="521"/>
      <c r="J100" s="522">
        <f t="shared" si="6"/>
        <v>11.13</v>
      </c>
      <c r="K100" s="513"/>
      <c r="L100" s="513"/>
    </row>
    <row r="101" spans="1:13" s="514" customFormat="1" ht="34.5" thickBot="1" x14ac:dyDescent="0.55000000000000004">
      <c r="B101" s="515"/>
      <c r="C101" s="516"/>
      <c r="D101" s="1120"/>
      <c r="E101" s="562" t="s">
        <v>82</v>
      </c>
      <c r="F101" s="563" t="s">
        <v>12</v>
      </c>
      <c r="G101" s="563">
        <f>'اسعار الخامات'!E36</f>
        <v>2400</v>
      </c>
      <c r="H101" s="564">
        <f>0.7*0.05*0.15</f>
        <v>5.2499999999999995E-3</v>
      </c>
      <c r="I101" s="579"/>
      <c r="J101" s="566">
        <f t="shared" si="6"/>
        <v>12.599999999999998</v>
      </c>
      <c r="K101" s="513"/>
      <c r="L101" s="513"/>
    </row>
    <row r="102" spans="1:13" s="514" customFormat="1" ht="34.5" thickBot="1" x14ac:dyDescent="0.55000000000000004">
      <c r="B102" s="515"/>
      <c r="C102" s="529"/>
      <c r="D102" s="1117" t="s">
        <v>11</v>
      </c>
      <c r="E102" s="567" t="s">
        <v>83</v>
      </c>
      <c r="F102" s="568" t="s">
        <v>73</v>
      </c>
      <c r="G102" s="568">
        <v>60</v>
      </c>
      <c r="H102" s="569">
        <v>1</v>
      </c>
      <c r="I102" s="531"/>
      <c r="J102" s="533">
        <f t="shared" si="6"/>
        <v>60</v>
      </c>
      <c r="K102" s="513"/>
      <c r="L102" s="513"/>
    </row>
    <row r="103" spans="1:13" s="514" customFormat="1" ht="34.5" thickBot="1" x14ac:dyDescent="0.55000000000000004">
      <c r="B103" s="515"/>
      <c r="C103" s="529"/>
      <c r="D103" s="1117"/>
      <c r="E103" s="570" t="s">
        <v>74</v>
      </c>
      <c r="F103" s="556" t="s">
        <v>73</v>
      </c>
      <c r="G103" s="556">
        <f>'اسعار المصنعيات'!D49</f>
        <v>40</v>
      </c>
      <c r="H103" s="553">
        <v>1</v>
      </c>
      <c r="I103" s="521"/>
      <c r="J103" s="533">
        <f t="shared" si="6"/>
        <v>40</v>
      </c>
      <c r="K103" s="513"/>
      <c r="L103" s="513"/>
      <c r="M103" s="578">
        <f>J105-J97-J98+J18+J19+J20</f>
        <v>548.69000000000005</v>
      </c>
    </row>
    <row r="104" spans="1:13" s="514" customFormat="1" ht="34.5" thickBot="1" x14ac:dyDescent="0.55000000000000004">
      <c r="B104" s="535"/>
      <c r="C104" s="536"/>
      <c r="D104" s="1118"/>
      <c r="E104" s="571" t="s">
        <v>75</v>
      </c>
      <c r="F104" s="572" t="s">
        <v>73</v>
      </c>
      <c r="G104" s="572">
        <f>'اسعار المصنعيات'!D50</f>
        <v>50</v>
      </c>
      <c r="H104" s="573">
        <v>1</v>
      </c>
      <c r="I104" s="538"/>
      <c r="J104" s="540">
        <f t="shared" si="6"/>
        <v>50</v>
      </c>
      <c r="K104" s="513"/>
      <c r="L104" s="513"/>
    </row>
    <row r="105" spans="1:13" s="514" customFormat="1" ht="44.25" customHeight="1" thickBot="1" x14ac:dyDescent="0.55000000000000004">
      <c r="B105" s="541"/>
      <c r="C105" s="1114" t="s">
        <v>13</v>
      </c>
      <c r="D105" s="1115"/>
      <c r="E105" s="1115"/>
      <c r="F105" s="1115"/>
      <c r="G105" s="1115"/>
      <c r="H105" s="1115"/>
      <c r="I105" s="1116"/>
      <c r="J105" s="611">
        <f>SUM(J91:J104)</f>
        <v>509.09</v>
      </c>
      <c r="K105" s="543"/>
      <c r="L105" s="544"/>
    </row>
    <row r="106" spans="1:13" s="584" customFormat="1" ht="34.5" thickBot="1" x14ac:dyDescent="0.55000000000000004">
      <c r="B106" s="585"/>
      <c r="C106" s="586"/>
      <c r="D106" s="586"/>
      <c r="E106" s="586"/>
      <c r="F106" s="586"/>
      <c r="G106" s="586"/>
      <c r="H106" s="586"/>
      <c r="I106" s="586"/>
      <c r="J106" s="587"/>
      <c r="K106" s="588"/>
      <c r="L106" s="589"/>
    </row>
    <row r="107" spans="1:13" s="268" customFormat="1" ht="50.25" customHeight="1" thickBot="1" x14ac:dyDescent="0.3">
      <c r="B107" s="608" t="s">
        <v>0</v>
      </c>
      <c r="C107" s="609" t="s">
        <v>1</v>
      </c>
      <c r="D107" s="1112" t="s">
        <v>2</v>
      </c>
      <c r="E107" s="1113"/>
      <c r="F107" s="609" t="s">
        <v>3</v>
      </c>
      <c r="G107" s="609" t="s">
        <v>4</v>
      </c>
      <c r="H107" s="609" t="s">
        <v>5</v>
      </c>
      <c r="I107" s="609" t="s">
        <v>6</v>
      </c>
      <c r="J107" s="610" t="s">
        <v>7</v>
      </c>
      <c r="K107" s="503"/>
      <c r="L107" s="504"/>
    </row>
    <row r="108" spans="1:13" s="514" customFormat="1" ht="135.75" thickBot="1" x14ac:dyDescent="0.55000000000000004">
      <c r="A108" s="590"/>
      <c r="B108" s="505">
        <v>3</v>
      </c>
      <c r="C108" s="506" t="s">
        <v>97</v>
      </c>
      <c r="D108" s="1130" t="s">
        <v>14</v>
      </c>
      <c r="E108" s="545" t="s">
        <v>66</v>
      </c>
      <c r="F108" s="546" t="s">
        <v>12</v>
      </c>
      <c r="G108" s="546">
        <f>'اسعار الخامات'!E36</f>
        <v>2400</v>
      </c>
      <c r="H108" s="548">
        <f>5*0.05*0.15</f>
        <v>3.7499999999999999E-2</v>
      </c>
      <c r="I108" s="511"/>
      <c r="J108" s="591">
        <f t="shared" ref="J108:J116" si="7">H108*G108</f>
        <v>90</v>
      </c>
      <c r="K108" s="513"/>
      <c r="L108" s="513"/>
    </row>
    <row r="109" spans="1:13" s="514" customFormat="1" ht="102" thickBot="1" x14ac:dyDescent="0.55000000000000004">
      <c r="A109" s="590"/>
      <c r="B109" s="515"/>
      <c r="C109" s="516" t="s">
        <v>67</v>
      </c>
      <c r="D109" s="1131"/>
      <c r="E109" s="550" t="s">
        <v>77</v>
      </c>
      <c r="F109" s="556" t="s">
        <v>12</v>
      </c>
      <c r="G109" s="556">
        <f>'اسعار الخامات'!E36</f>
        <v>2400</v>
      </c>
      <c r="H109" s="553">
        <f>4*1.1*0.05*0.1</f>
        <v>2.2000000000000006E-2</v>
      </c>
      <c r="I109" s="521"/>
      <c r="J109" s="592">
        <f t="shared" si="7"/>
        <v>52.800000000000011</v>
      </c>
      <c r="K109" s="513"/>
      <c r="L109" s="513"/>
    </row>
    <row r="110" spans="1:13" s="514" customFormat="1" ht="68.25" thickBot="1" x14ac:dyDescent="0.55000000000000004">
      <c r="A110" s="590"/>
      <c r="B110" s="515"/>
      <c r="C110" s="516" t="s">
        <v>84</v>
      </c>
      <c r="D110" s="1131"/>
      <c r="E110" s="550" t="s">
        <v>85</v>
      </c>
      <c r="F110" s="556" t="s">
        <v>12</v>
      </c>
      <c r="G110" s="556">
        <f>'اسعار الخامات'!E36</f>
        <v>2400</v>
      </c>
      <c r="H110" s="553">
        <f>2*1.2*0.05*0.1</f>
        <v>1.2E-2</v>
      </c>
      <c r="I110" s="521"/>
      <c r="J110" s="592">
        <f t="shared" si="7"/>
        <v>28.8</v>
      </c>
      <c r="K110" s="513"/>
      <c r="L110" s="513"/>
    </row>
    <row r="111" spans="1:13" s="514" customFormat="1" ht="68.25" thickBot="1" x14ac:dyDescent="0.55000000000000004">
      <c r="A111" s="590"/>
      <c r="B111" s="515"/>
      <c r="C111" s="516" t="s">
        <v>86</v>
      </c>
      <c r="D111" s="550"/>
      <c r="E111" s="570" t="s">
        <v>87</v>
      </c>
      <c r="F111" s="556" t="s">
        <v>12</v>
      </c>
      <c r="G111" s="556">
        <f>'اسعار الخامات'!E36</f>
        <v>2400</v>
      </c>
      <c r="H111" s="553">
        <f>2*1.1*1*0.0125</f>
        <v>2.7500000000000004E-2</v>
      </c>
      <c r="I111" s="521"/>
      <c r="J111" s="592">
        <f t="shared" si="7"/>
        <v>66.000000000000014</v>
      </c>
      <c r="K111" s="513"/>
      <c r="L111" s="513"/>
    </row>
    <row r="112" spans="1:13" s="514" customFormat="1" ht="68.25" thickBot="1" x14ac:dyDescent="0.55000000000000004">
      <c r="A112" s="590"/>
      <c r="B112" s="515"/>
      <c r="C112" s="516" t="s">
        <v>88</v>
      </c>
      <c r="D112" s="550"/>
      <c r="E112" s="550" t="s">
        <v>89</v>
      </c>
      <c r="F112" s="556" t="s">
        <v>12</v>
      </c>
      <c r="G112" s="556">
        <f>'اسعار الخامات'!E36</f>
        <v>2400</v>
      </c>
      <c r="H112" s="553">
        <f>4*1.1*0.05*0.1</f>
        <v>2.2000000000000006E-2</v>
      </c>
      <c r="I112" s="521"/>
      <c r="J112" s="592">
        <f t="shared" si="7"/>
        <v>52.800000000000011</v>
      </c>
      <c r="K112" s="513"/>
      <c r="L112" s="513"/>
    </row>
    <row r="113" spans="1:12" s="514" customFormat="1" ht="68.25" thickBot="1" x14ac:dyDescent="0.55000000000000004">
      <c r="A113" s="590"/>
      <c r="B113" s="515"/>
      <c r="C113" s="516"/>
      <c r="D113" s="550"/>
      <c r="E113" s="570" t="s">
        <v>90</v>
      </c>
      <c r="F113" s="556" t="s">
        <v>12</v>
      </c>
      <c r="G113" s="556">
        <f>'اسعار الخامات'!E36</f>
        <v>2400</v>
      </c>
      <c r="H113" s="553">
        <f>2*1.2*0.05*0.1</f>
        <v>1.2E-2</v>
      </c>
      <c r="I113" s="521"/>
      <c r="J113" s="592">
        <f t="shared" si="7"/>
        <v>28.8</v>
      </c>
      <c r="K113" s="513"/>
      <c r="L113" s="513"/>
    </row>
    <row r="114" spans="1:12" s="514" customFormat="1" ht="68.25" thickBot="1" x14ac:dyDescent="0.55000000000000004">
      <c r="A114" s="590"/>
      <c r="B114" s="515"/>
      <c r="C114" s="516" t="s">
        <v>91</v>
      </c>
      <c r="D114" s="550"/>
      <c r="E114" s="550" t="s">
        <v>71</v>
      </c>
      <c r="F114" s="556" t="s">
        <v>12</v>
      </c>
      <c r="G114" s="556">
        <f>'اسعار الخامات'!E36</f>
        <v>2400</v>
      </c>
      <c r="H114" s="561">
        <f>5.1*0.07*0.0125</f>
        <v>4.4625000000000003E-3</v>
      </c>
      <c r="I114" s="521"/>
      <c r="J114" s="592">
        <f t="shared" si="7"/>
        <v>10.71</v>
      </c>
      <c r="K114" s="513"/>
      <c r="L114" s="513"/>
    </row>
    <row r="115" spans="1:12" s="514" customFormat="1" ht="34.5" thickBot="1" x14ac:dyDescent="0.55000000000000004">
      <c r="A115" s="590"/>
      <c r="B115" s="515"/>
      <c r="C115" s="516"/>
      <c r="D115" s="562"/>
      <c r="E115" s="562" t="s">
        <v>69</v>
      </c>
      <c r="F115" s="563" t="s">
        <v>70</v>
      </c>
      <c r="G115" s="563">
        <v>35</v>
      </c>
      <c r="H115" s="593">
        <v>1</v>
      </c>
      <c r="I115" s="579"/>
      <c r="J115" s="594">
        <f t="shared" si="7"/>
        <v>35</v>
      </c>
      <c r="K115" s="513"/>
      <c r="L115" s="513"/>
    </row>
    <row r="116" spans="1:12" s="514" customFormat="1" ht="34.5" thickBot="1" x14ac:dyDescent="0.55000000000000004">
      <c r="A116" s="590"/>
      <c r="B116" s="515"/>
      <c r="C116" s="529"/>
      <c r="D116" s="1134" t="s">
        <v>11</v>
      </c>
      <c r="E116" s="567" t="s">
        <v>92</v>
      </c>
      <c r="F116" s="568" t="s">
        <v>73</v>
      </c>
      <c r="G116" s="568">
        <v>75</v>
      </c>
      <c r="H116" s="569">
        <v>1</v>
      </c>
      <c r="I116" s="531"/>
      <c r="J116" s="595">
        <f t="shared" si="7"/>
        <v>75</v>
      </c>
      <c r="K116" s="513"/>
      <c r="L116" s="513"/>
    </row>
    <row r="117" spans="1:12" s="514" customFormat="1" ht="34.5" thickBot="1" x14ac:dyDescent="0.55000000000000004">
      <c r="A117" s="590"/>
      <c r="B117" s="515"/>
      <c r="C117" s="529"/>
      <c r="D117" s="1131"/>
      <c r="E117" s="570" t="s">
        <v>74</v>
      </c>
      <c r="F117" s="556" t="s">
        <v>73</v>
      </c>
      <c r="G117" s="556">
        <v>35</v>
      </c>
      <c r="H117" s="553">
        <v>1</v>
      </c>
      <c r="I117" s="521"/>
      <c r="J117" s="592">
        <v>35</v>
      </c>
      <c r="K117" s="513"/>
      <c r="L117" s="513"/>
    </row>
    <row r="118" spans="1:12" s="514" customFormat="1" ht="34.5" thickBot="1" x14ac:dyDescent="0.55000000000000004">
      <c r="A118" s="590"/>
      <c r="B118" s="535"/>
      <c r="C118" s="536"/>
      <c r="D118" s="1135"/>
      <c r="E118" s="571" t="s">
        <v>75</v>
      </c>
      <c r="F118" s="572" t="s">
        <v>73</v>
      </c>
      <c r="G118" s="572">
        <v>35</v>
      </c>
      <c r="H118" s="573">
        <v>1</v>
      </c>
      <c r="I118" s="538"/>
      <c r="J118" s="596">
        <f>H118*G118</f>
        <v>35</v>
      </c>
      <c r="K118" s="513"/>
      <c r="L118" s="513"/>
    </row>
    <row r="119" spans="1:12" s="514" customFormat="1" ht="44.25" customHeight="1" thickBot="1" x14ac:dyDescent="0.55000000000000004">
      <c r="B119" s="541"/>
      <c r="C119" s="1114" t="s">
        <v>13</v>
      </c>
      <c r="D119" s="1115"/>
      <c r="E119" s="1115"/>
      <c r="F119" s="1115"/>
      <c r="G119" s="1115"/>
      <c r="H119" s="1115"/>
      <c r="I119" s="1116"/>
      <c r="J119" s="611">
        <f>SUM(J108:J118)</f>
        <v>509.91</v>
      </c>
      <c r="K119" s="543"/>
      <c r="L119" s="544"/>
    </row>
    <row r="120" spans="1:12" s="584" customFormat="1" ht="34.5" thickBot="1" x14ac:dyDescent="0.55000000000000004">
      <c r="B120" s="585"/>
      <c r="C120" s="586"/>
      <c r="D120" s="586"/>
      <c r="E120" s="586"/>
      <c r="F120" s="586"/>
      <c r="G120" s="586"/>
      <c r="H120" s="586"/>
      <c r="I120" s="586"/>
      <c r="J120" s="587"/>
      <c r="K120" s="588"/>
      <c r="L120" s="589"/>
    </row>
    <row r="121" spans="1:12" s="268" customFormat="1" ht="50.25" customHeight="1" thickBot="1" x14ac:dyDescent="0.3">
      <c r="B121" s="608" t="s">
        <v>0</v>
      </c>
      <c r="C121" s="609" t="s">
        <v>1</v>
      </c>
      <c r="D121" s="1112" t="s">
        <v>2</v>
      </c>
      <c r="E121" s="1113"/>
      <c r="F121" s="609" t="s">
        <v>3</v>
      </c>
      <c r="G121" s="609" t="s">
        <v>4</v>
      </c>
      <c r="H121" s="609" t="s">
        <v>5</v>
      </c>
      <c r="I121" s="609" t="s">
        <v>6</v>
      </c>
      <c r="J121" s="610" t="s">
        <v>7</v>
      </c>
      <c r="K121" s="503"/>
      <c r="L121" s="504"/>
    </row>
    <row r="122" spans="1:12" s="514" customFormat="1" ht="135.75" thickBot="1" x14ac:dyDescent="0.55000000000000004">
      <c r="A122" s="590"/>
      <c r="B122" s="505">
        <v>4</v>
      </c>
      <c r="C122" s="506" t="s">
        <v>93</v>
      </c>
      <c r="D122" s="1119" t="s">
        <v>14</v>
      </c>
      <c r="E122" s="599" t="s">
        <v>94</v>
      </c>
      <c r="F122" s="546" t="s">
        <v>12</v>
      </c>
      <c r="G122" s="546">
        <v>2300</v>
      </c>
      <c r="H122" s="576">
        <v>4.4999999999999998E-2</v>
      </c>
      <c r="I122" s="549"/>
      <c r="J122" s="512">
        <f t="shared" ref="J122:J131" si="8">H122*G122</f>
        <v>103.5</v>
      </c>
      <c r="K122" s="513"/>
      <c r="L122" s="513"/>
    </row>
    <row r="123" spans="1:12" s="514" customFormat="1" ht="102" thickBot="1" x14ac:dyDescent="0.55000000000000004">
      <c r="A123" s="590"/>
      <c r="B123" s="515"/>
      <c r="C123" s="516" t="s">
        <v>95</v>
      </c>
      <c r="D123" s="1117"/>
      <c r="E123" s="550" t="s">
        <v>77</v>
      </c>
      <c r="F123" s="556" t="s">
        <v>12</v>
      </c>
      <c r="G123" s="556">
        <v>2300</v>
      </c>
      <c r="H123" s="561">
        <f>4*2.1*0.05*0.1</f>
        <v>4.200000000000001E-2</v>
      </c>
      <c r="I123" s="554"/>
      <c r="J123" s="522">
        <f t="shared" si="8"/>
        <v>96.600000000000023</v>
      </c>
      <c r="K123" s="513"/>
      <c r="L123" s="513"/>
    </row>
    <row r="124" spans="1:12" s="514" customFormat="1" ht="68.25" thickBot="1" x14ac:dyDescent="0.55000000000000004">
      <c r="A124" s="590"/>
      <c r="B124" s="515"/>
      <c r="C124" s="516" t="s">
        <v>84</v>
      </c>
      <c r="D124" s="1117"/>
      <c r="E124" s="550" t="s">
        <v>85</v>
      </c>
      <c r="F124" s="556" t="s">
        <v>12</v>
      </c>
      <c r="G124" s="556">
        <v>2300</v>
      </c>
      <c r="H124" s="561">
        <f>2*1.3*0.05*0.1</f>
        <v>1.3000000000000001E-2</v>
      </c>
      <c r="I124" s="554"/>
      <c r="J124" s="522">
        <f t="shared" si="8"/>
        <v>29.900000000000002</v>
      </c>
      <c r="K124" s="513"/>
      <c r="L124" s="513"/>
    </row>
    <row r="125" spans="1:12" s="514" customFormat="1" ht="68.25" thickBot="1" x14ac:dyDescent="0.55000000000000004">
      <c r="A125" s="590"/>
      <c r="B125" s="515"/>
      <c r="C125" s="516" t="s">
        <v>86</v>
      </c>
      <c r="D125" s="1117"/>
      <c r="E125" s="570" t="s">
        <v>87</v>
      </c>
      <c r="F125" s="556" t="s">
        <v>12</v>
      </c>
      <c r="G125" s="556">
        <v>2300</v>
      </c>
      <c r="H125" s="561">
        <f>2*1.1*1*0.0125</f>
        <v>2.7500000000000004E-2</v>
      </c>
      <c r="I125" s="554"/>
      <c r="J125" s="522">
        <f t="shared" si="8"/>
        <v>63.250000000000007</v>
      </c>
      <c r="K125" s="513"/>
      <c r="L125" s="513"/>
    </row>
    <row r="126" spans="1:12" s="514" customFormat="1" ht="68.25" thickBot="1" x14ac:dyDescent="0.55000000000000004">
      <c r="A126" s="590"/>
      <c r="B126" s="515"/>
      <c r="C126" s="516" t="s">
        <v>88</v>
      </c>
      <c r="D126" s="1117"/>
      <c r="E126" s="550" t="s">
        <v>89</v>
      </c>
      <c r="F126" s="556" t="s">
        <v>12</v>
      </c>
      <c r="G126" s="556">
        <v>2300</v>
      </c>
      <c r="H126" s="561">
        <f>4*2.1*0.05*0.1</f>
        <v>4.200000000000001E-2</v>
      </c>
      <c r="I126" s="554"/>
      <c r="J126" s="522">
        <f t="shared" si="8"/>
        <v>96.600000000000023</v>
      </c>
      <c r="K126" s="513"/>
      <c r="L126" s="513"/>
    </row>
    <row r="127" spans="1:12" s="514" customFormat="1" ht="68.25" thickBot="1" x14ac:dyDescent="0.55000000000000004">
      <c r="A127" s="590"/>
      <c r="B127" s="515"/>
      <c r="C127" s="516"/>
      <c r="D127" s="1117"/>
      <c r="E127" s="570" t="s">
        <v>90</v>
      </c>
      <c r="F127" s="556" t="s">
        <v>12</v>
      </c>
      <c r="G127" s="556">
        <v>2300</v>
      </c>
      <c r="H127" s="561">
        <f>2*1.1*0.05*0.1</f>
        <v>1.1000000000000003E-2</v>
      </c>
      <c r="I127" s="554"/>
      <c r="J127" s="522">
        <f t="shared" si="8"/>
        <v>25.300000000000008</v>
      </c>
      <c r="K127" s="513"/>
      <c r="L127" s="513"/>
    </row>
    <row r="128" spans="1:12" s="514" customFormat="1" ht="68.25" thickBot="1" x14ac:dyDescent="0.55000000000000004">
      <c r="A128" s="590"/>
      <c r="B128" s="515"/>
      <c r="C128" s="516" t="s">
        <v>91</v>
      </c>
      <c r="D128" s="1117"/>
      <c r="E128" s="550" t="s">
        <v>71</v>
      </c>
      <c r="F128" s="556" t="s">
        <v>12</v>
      </c>
      <c r="G128" s="556">
        <v>2300</v>
      </c>
      <c r="H128" s="561">
        <f>5.9*0.07*0.0125</f>
        <v>5.1625000000000013E-3</v>
      </c>
      <c r="I128" s="554"/>
      <c r="J128" s="522">
        <f t="shared" si="8"/>
        <v>11.873750000000003</v>
      </c>
      <c r="K128" s="513"/>
      <c r="L128" s="513"/>
    </row>
    <row r="129" spans="1:12" s="514" customFormat="1" ht="34.5" thickBot="1" x14ac:dyDescent="0.55000000000000004">
      <c r="A129" s="590"/>
      <c r="B129" s="515"/>
      <c r="C129" s="516"/>
      <c r="D129" s="1117"/>
      <c r="E129" s="550" t="s">
        <v>81</v>
      </c>
      <c r="F129" s="556" t="s">
        <v>70</v>
      </c>
      <c r="G129" s="556">
        <f>'اسعار الخامات'!E38</f>
        <v>120</v>
      </c>
      <c r="H129" s="561">
        <v>1</v>
      </c>
      <c r="I129" s="554"/>
      <c r="J129" s="522">
        <f t="shared" si="8"/>
        <v>120</v>
      </c>
      <c r="K129" s="513"/>
      <c r="L129" s="513"/>
    </row>
    <row r="130" spans="1:12" s="514" customFormat="1" ht="34.5" thickBot="1" x14ac:dyDescent="0.55000000000000004">
      <c r="A130" s="590"/>
      <c r="B130" s="515"/>
      <c r="C130" s="516"/>
      <c r="D130" s="1141"/>
      <c r="E130" s="558" t="s">
        <v>69</v>
      </c>
      <c r="F130" s="600" t="s">
        <v>70</v>
      </c>
      <c r="G130" s="600">
        <v>35</v>
      </c>
      <c r="H130" s="559">
        <v>1</v>
      </c>
      <c r="I130" s="560"/>
      <c r="J130" s="601">
        <f t="shared" si="8"/>
        <v>35</v>
      </c>
      <c r="K130" s="513"/>
      <c r="L130" s="513"/>
    </row>
    <row r="131" spans="1:12" s="514" customFormat="1" ht="35.25" thickTop="1" thickBot="1" x14ac:dyDescent="0.55000000000000004">
      <c r="A131" s="590"/>
      <c r="B131" s="515"/>
      <c r="C131" s="529"/>
      <c r="D131" s="1140" t="s">
        <v>11</v>
      </c>
      <c r="E131" s="602" t="s">
        <v>92</v>
      </c>
      <c r="F131" s="603" t="s">
        <v>73</v>
      </c>
      <c r="G131" s="603">
        <v>65</v>
      </c>
      <c r="H131" s="604">
        <v>1</v>
      </c>
      <c r="I131" s="603"/>
      <c r="J131" s="605">
        <f t="shared" si="8"/>
        <v>65</v>
      </c>
      <c r="K131" s="513"/>
      <c r="L131" s="513"/>
    </row>
    <row r="132" spans="1:12" s="514" customFormat="1" ht="34.5" thickBot="1" x14ac:dyDescent="0.55000000000000004">
      <c r="A132" s="590"/>
      <c r="B132" s="515"/>
      <c r="C132" s="529"/>
      <c r="D132" s="1131"/>
      <c r="E132" s="570" t="s">
        <v>74</v>
      </c>
      <c r="F132" s="556" t="s">
        <v>73</v>
      </c>
      <c r="G132" s="556">
        <v>60</v>
      </c>
      <c r="H132" s="553">
        <v>1</v>
      </c>
      <c r="I132" s="554"/>
      <c r="J132" s="522">
        <v>50</v>
      </c>
      <c r="K132" s="513"/>
      <c r="L132" s="513"/>
    </row>
    <row r="133" spans="1:12" s="514" customFormat="1" ht="34.5" thickBot="1" x14ac:dyDescent="0.55000000000000004">
      <c r="A133" s="590"/>
      <c r="B133" s="535"/>
      <c r="C133" s="536"/>
      <c r="D133" s="1135"/>
      <c r="E133" s="571" t="s">
        <v>75</v>
      </c>
      <c r="F133" s="572" t="s">
        <v>73</v>
      </c>
      <c r="G133" s="572">
        <v>35</v>
      </c>
      <c r="H133" s="573">
        <v>1</v>
      </c>
      <c r="I133" s="572"/>
      <c r="J133" s="540">
        <f>H133*G133</f>
        <v>35</v>
      </c>
      <c r="K133" s="513"/>
      <c r="L133" s="513"/>
    </row>
    <row r="134" spans="1:12" s="514" customFormat="1" ht="44.25" customHeight="1" thickBot="1" x14ac:dyDescent="0.55000000000000004">
      <c r="B134" s="541"/>
      <c r="C134" s="1114" t="s">
        <v>13</v>
      </c>
      <c r="D134" s="1115"/>
      <c r="E134" s="1115"/>
      <c r="F134" s="1115"/>
      <c r="G134" s="1115"/>
      <c r="H134" s="1115"/>
      <c r="I134" s="1116"/>
      <c r="J134" s="611">
        <f>SUM(J122:J133)</f>
        <v>732.02375000000006</v>
      </c>
      <c r="K134" s="543">
        <f>+J134*1.25</f>
        <v>915.02968750000014</v>
      </c>
      <c r="L134" s="544">
        <f>K134/J134-1</f>
        <v>0.25</v>
      </c>
    </row>
    <row r="135" spans="1:12" s="584" customFormat="1" ht="34.5" thickBot="1" x14ac:dyDescent="0.55000000000000004">
      <c r="B135" s="585"/>
      <c r="C135" s="586"/>
      <c r="D135" s="586"/>
      <c r="E135" s="586"/>
      <c r="F135" s="586"/>
      <c r="G135" s="586"/>
      <c r="H135" s="586"/>
      <c r="I135" s="586"/>
      <c r="J135" s="587"/>
      <c r="K135" s="588"/>
      <c r="L135" s="589"/>
    </row>
    <row r="136" spans="1:12" s="268" customFormat="1" ht="50.25" customHeight="1" thickBot="1" x14ac:dyDescent="0.3">
      <c r="B136" s="608" t="s">
        <v>0</v>
      </c>
      <c r="C136" s="609" t="s">
        <v>1</v>
      </c>
      <c r="D136" s="1112" t="s">
        <v>2</v>
      </c>
      <c r="E136" s="1113"/>
      <c r="F136" s="609" t="s">
        <v>3</v>
      </c>
      <c r="G136" s="609" t="s">
        <v>4</v>
      </c>
      <c r="H136" s="609" t="s">
        <v>5</v>
      </c>
      <c r="I136" s="609" t="s">
        <v>6</v>
      </c>
      <c r="J136" s="610" t="s">
        <v>7</v>
      </c>
      <c r="K136" s="503"/>
      <c r="L136" s="504"/>
    </row>
    <row r="137" spans="1:12" s="514" customFormat="1" ht="68.25" thickBot="1" x14ac:dyDescent="0.55000000000000004">
      <c r="A137" s="590"/>
      <c r="B137" s="505"/>
      <c r="C137" s="506" t="s">
        <v>154</v>
      </c>
      <c r="D137" s="1130" t="s">
        <v>14</v>
      </c>
      <c r="E137" s="545" t="s">
        <v>155</v>
      </c>
      <c r="F137" s="546" t="s">
        <v>70</v>
      </c>
      <c r="G137" s="546">
        <v>1900</v>
      </c>
      <c r="H137" s="548">
        <v>1</v>
      </c>
      <c r="I137" s="511"/>
      <c r="J137" s="512">
        <f>H137*G137</f>
        <v>1900</v>
      </c>
      <c r="K137" s="513"/>
      <c r="L137" s="513"/>
    </row>
    <row r="138" spans="1:12" s="514" customFormat="1" ht="34.5" thickBot="1" x14ac:dyDescent="0.55000000000000004">
      <c r="A138" s="590"/>
      <c r="B138" s="515"/>
      <c r="C138" s="516"/>
      <c r="D138" s="1131"/>
      <c r="E138" s="550" t="s">
        <v>156</v>
      </c>
      <c r="F138" s="556" t="s">
        <v>150</v>
      </c>
      <c r="G138" s="556">
        <v>200</v>
      </c>
      <c r="H138" s="553">
        <v>1</v>
      </c>
      <c r="I138" s="521"/>
      <c r="J138" s="522">
        <f>H138*G138</f>
        <v>200</v>
      </c>
      <c r="K138" s="513"/>
      <c r="L138" s="513"/>
    </row>
    <row r="139" spans="1:12" s="514" customFormat="1" ht="44.25" customHeight="1" thickBot="1" x14ac:dyDescent="0.55000000000000004">
      <c r="B139" s="541"/>
      <c r="C139" s="1114" t="s">
        <v>13</v>
      </c>
      <c r="D139" s="1115"/>
      <c r="E139" s="1115"/>
      <c r="F139" s="1115"/>
      <c r="G139" s="1115"/>
      <c r="H139" s="1115"/>
      <c r="I139" s="1116"/>
      <c r="J139" s="611">
        <f>SUM(J137:J138)</f>
        <v>2100</v>
      </c>
      <c r="K139" s="543">
        <f>+J139*1.25</f>
        <v>2625</v>
      </c>
      <c r="L139" s="544">
        <f>K139/J139-1</f>
        <v>0.25</v>
      </c>
    </row>
    <row r="140" spans="1:12" s="584" customFormat="1" ht="34.5" thickBot="1" x14ac:dyDescent="0.55000000000000004">
      <c r="B140" s="585"/>
      <c r="C140" s="586"/>
      <c r="D140" s="586"/>
      <c r="E140" s="586"/>
      <c r="F140" s="586"/>
      <c r="G140" s="586"/>
      <c r="H140" s="586"/>
      <c r="I140" s="586"/>
      <c r="J140" s="587"/>
      <c r="K140" s="588"/>
      <c r="L140" s="589"/>
    </row>
    <row r="141" spans="1:12" s="268" customFormat="1" ht="50.25" customHeight="1" thickBot="1" x14ac:dyDescent="0.3">
      <c r="B141" s="608" t="s">
        <v>0</v>
      </c>
      <c r="C141" s="609" t="s">
        <v>1</v>
      </c>
      <c r="D141" s="1112" t="s">
        <v>2</v>
      </c>
      <c r="E141" s="1113"/>
      <c r="F141" s="609" t="s">
        <v>3</v>
      </c>
      <c r="G141" s="609" t="s">
        <v>4</v>
      </c>
      <c r="H141" s="609" t="s">
        <v>5</v>
      </c>
      <c r="I141" s="609" t="s">
        <v>6</v>
      </c>
      <c r="J141" s="610" t="s">
        <v>7</v>
      </c>
      <c r="K141" s="503"/>
      <c r="L141" s="504"/>
    </row>
    <row r="142" spans="1:12" s="514" customFormat="1" ht="68.25" thickBot="1" x14ac:dyDescent="0.55000000000000004">
      <c r="A142" s="590"/>
      <c r="B142" s="505"/>
      <c r="C142" s="506" t="s">
        <v>157</v>
      </c>
      <c r="D142" s="1130" t="s">
        <v>14</v>
      </c>
      <c r="E142" s="545" t="s">
        <v>155</v>
      </c>
      <c r="F142" s="546" t="s">
        <v>70</v>
      </c>
      <c r="G142" s="546">
        <v>1400</v>
      </c>
      <c r="H142" s="548">
        <v>1</v>
      </c>
      <c r="I142" s="511"/>
      <c r="J142" s="512">
        <f>H142*G142</f>
        <v>1400</v>
      </c>
      <c r="K142" s="513"/>
      <c r="L142" s="513"/>
    </row>
    <row r="143" spans="1:12" s="514" customFormat="1" ht="34.5" thickBot="1" x14ac:dyDescent="0.55000000000000004">
      <c r="A143" s="590"/>
      <c r="B143" s="515"/>
      <c r="C143" s="516"/>
      <c r="D143" s="1131"/>
      <c r="E143" s="550" t="s">
        <v>156</v>
      </c>
      <c r="F143" s="556" t="s">
        <v>150</v>
      </c>
      <c r="G143" s="556">
        <v>105</v>
      </c>
      <c r="H143" s="553">
        <v>1</v>
      </c>
      <c r="I143" s="521"/>
      <c r="J143" s="522">
        <f>H143*G143</f>
        <v>105</v>
      </c>
      <c r="K143" s="513"/>
      <c r="L143" s="513"/>
    </row>
    <row r="144" spans="1:12" s="514" customFormat="1" ht="44.25" customHeight="1" thickBot="1" x14ac:dyDescent="0.55000000000000004">
      <c r="B144" s="541"/>
      <c r="C144" s="1114" t="s">
        <v>13</v>
      </c>
      <c r="D144" s="1115"/>
      <c r="E144" s="1115"/>
      <c r="F144" s="1115"/>
      <c r="G144" s="1115"/>
      <c r="H144" s="1115"/>
      <c r="I144" s="1116"/>
      <c r="J144" s="611">
        <f>SUM(J142:J143)</f>
        <v>1505</v>
      </c>
      <c r="K144" s="543">
        <v>1880</v>
      </c>
      <c r="L144" s="544">
        <f>K144/J144-1</f>
        <v>0.24916943521594681</v>
      </c>
    </row>
    <row r="145" spans="2:8" s="514" customFormat="1" ht="33.75" x14ac:dyDescent="0.5">
      <c r="B145" s="606"/>
      <c r="H145" s="607"/>
    </row>
    <row r="146" spans="2:8" s="514" customFormat="1" ht="33.75" x14ac:dyDescent="0.5">
      <c r="B146" s="606"/>
      <c r="H146" s="607"/>
    </row>
  </sheetData>
  <mergeCells count="42">
    <mergeCell ref="D142:D143"/>
    <mergeCell ref="C144:I144"/>
    <mergeCell ref="D108:D110"/>
    <mergeCell ref="D116:D118"/>
    <mergeCell ref="C119:I119"/>
    <mergeCell ref="D131:D133"/>
    <mergeCell ref="C134:I134"/>
    <mergeCell ref="D136:E136"/>
    <mergeCell ref="D141:E141"/>
    <mergeCell ref="D137:D138"/>
    <mergeCell ref="C139:I139"/>
    <mergeCell ref="D122:D130"/>
    <mergeCell ref="C37:I37"/>
    <mergeCell ref="D40:D50"/>
    <mergeCell ref="D51:D53"/>
    <mergeCell ref="C54:I54"/>
    <mergeCell ref="D74:D84"/>
    <mergeCell ref="D57:D67"/>
    <mergeCell ref="D68:D70"/>
    <mergeCell ref="C71:I71"/>
    <mergeCell ref="D39:E39"/>
    <mergeCell ref="D56:E56"/>
    <mergeCell ref="D73:E73"/>
    <mergeCell ref="D14:D22"/>
    <mergeCell ref="D23:D25"/>
    <mergeCell ref="C26:I26"/>
    <mergeCell ref="D27:D33"/>
    <mergeCell ref="D34:D36"/>
    <mergeCell ref="C13:I13"/>
    <mergeCell ref="B1:J1"/>
    <mergeCell ref="B2:J2"/>
    <mergeCell ref="D5:E5"/>
    <mergeCell ref="D6:D9"/>
    <mergeCell ref="D10:D12"/>
    <mergeCell ref="D90:E90"/>
    <mergeCell ref="D107:E107"/>
    <mergeCell ref="D121:E121"/>
    <mergeCell ref="C88:I88"/>
    <mergeCell ref="D85:D87"/>
    <mergeCell ref="D91:D101"/>
    <mergeCell ref="D102:D104"/>
    <mergeCell ref="C105:I105"/>
  </mergeCells>
  <hyperlinks>
    <hyperlink ref="M2" location="cover!A1" display="cover!A1" xr:uid="{00000000-0004-0000-0B00-000000000000}"/>
  </hyperlinks>
  <printOptions horizontalCentered="1"/>
  <pageMargins left="0.70866141732283472" right="0.70866141732283472" top="0.74803149606299213" bottom="0.74803149606299213" header="0.31496062992125984" footer="0.31496062992125984"/>
  <pageSetup paperSize="9" scale="37" orientation="portrait" r:id="rId1"/>
  <headerFooter>
    <oddFooter>&amp;L&amp;P&amp;Cتحليل اسعار بنود الاعمال مشروع فانتازيا&amp;R&amp;D</oddFooter>
  </headerFooter>
  <rowBreaks count="1" manualBreakCount="1">
    <brk id="105" min="1" max="9"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3" tint="0.79998168889431442"/>
  </sheetPr>
  <dimension ref="A1:N533"/>
  <sheetViews>
    <sheetView rightToLeft="1" zoomScale="50" zoomScaleNormal="50" zoomScaleSheetLayoutView="50" workbookViewId="0">
      <pane ySplit="2" topLeftCell="A3" activePane="bottomLeft" state="frozen"/>
      <selection pane="bottomLeft" activeCell="J17" sqref="J17"/>
    </sheetView>
  </sheetViews>
  <sheetFormatPr defaultColWidth="9" defaultRowHeight="35.1" customHeight="1" x14ac:dyDescent="0.25"/>
  <cols>
    <col min="1" max="1" width="3.85546875" style="2" customWidth="1"/>
    <col min="2" max="2" width="7.28515625" style="37" customWidth="1"/>
    <col min="3" max="3" width="39" style="2" customWidth="1"/>
    <col min="4" max="4" width="17.42578125" style="6" customWidth="1"/>
    <col min="5" max="5" width="34.42578125" style="2" customWidth="1"/>
    <col min="6" max="6" width="15.28515625" style="84" customWidth="1"/>
    <col min="7" max="7" width="13.42578125" style="7" customWidth="1"/>
    <col min="8" max="8" width="17.5703125" style="8" customWidth="1"/>
    <col min="9" max="9" width="17.7109375" style="85" customWidth="1"/>
    <col min="10" max="10" width="28.5703125" style="3" customWidth="1"/>
    <col min="11" max="12" width="0" style="2" hidden="1" customWidth="1"/>
    <col min="13" max="13" width="9" style="2"/>
    <col min="14" max="14" width="52.7109375" style="2" customWidth="1"/>
    <col min="15" max="15" width="54.85546875" style="2" customWidth="1"/>
    <col min="16" max="16384" width="9" style="2"/>
  </cols>
  <sheetData>
    <row r="1" spans="1:14" s="1" customFormat="1" ht="40.5" customHeight="1" thickBot="1" x14ac:dyDescent="0.3">
      <c r="B1" s="1142" t="str">
        <f>'خرسانة مسلحة'!B1:J1</f>
        <v>تحليل اسعار</v>
      </c>
      <c r="C1" s="1142"/>
      <c r="D1" s="1142"/>
      <c r="E1" s="1142"/>
      <c r="F1" s="1142"/>
      <c r="G1" s="1142"/>
      <c r="H1" s="1142"/>
      <c r="I1" s="1142"/>
      <c r="J1" s="1142"/>
    </row>
    <row r="2" spans="1:14" ht="48" customHeight="1" thickBot="1" x14ac:dyDescent="0.3">
      <c r="B2" s="1143" t="s">
        <v>1174</v>
      </c>
      <c r="C2" s="1143"/>
      <c r="D2" s="1143"/>
      <c r="E2" s="1143"/>
      <c r="F2" s="1143"/>
      <c r="G2" s="1143"/>
      <c r="H2" s="1143"/>
      <c r="I2" s="1143"/>
      <c r="J2" s="1143"/>
      <c r="N2" s="380" t="s">
        <v>1171</v>
      </c>
    </row>
    <row r="3" spans="1:14" s="615" customFormat="1" ht="63" customHeight="1" thickTop="1" thickBot="1" x14ac:dyDescent="0.55000000000000004">
      <c r="A3" s="612"/>
      <c r="B3" s="631" t="s">
        <v>0</v>
      </c>
      <c r="C3" s="632" t="s">
        <v>1</v>
      </c>
      <c r="D3" s="1149" t="s">
        <v>2</v>
      </c>
      <c r="E3" s="1150"/>
      <c r="F3" s="632" t="s">
        <v>3</v>
      </c>
      <c r="G3" s="632" t="s">
        <v>4</v>
      </c>
      <c r="H3" s="632" t="s">
        <v>5</v>
      </c>
      <c r="I3" s="633" t="s">
        <v>6</v>
      </c>
      <c r="J3" s="634" t="s">
        <v>7</v>
      </c>
      <c r="K3" s="613"/>
      <c r="L3" s="614" t="s">
        <v>8</v>
      </c>
    </row>
    <row r="4" spans="1:14" s="268" customFormat="1" ht="34.5" thickBot="1" x14ac:dyDescent="0.3">
      <c r="B4" s="1144">
        <v>18</v>
      </c>
      <c r="C4" s="1151" t="s">
        <v>242</v>
      </c>
      <c r="D4" s="1125" t="s">
        <v>14</v>
      </c>
      <c r="E4" s="616" t="s">
        <v>251</v>
      </c>
      <c r="F4" s="617" t="s">
        <v>249</v>
      </c>
      <c r="G4" s="635">
        <f>'اسعار الخامات'!E77</f>
        <v>152</v>
      </c>
      <c r="H4" s="618">
        <v>1</v>
      </c>
      <c r="I4" s="619"/>
      <c r="J4" s="620">
        <f>G4*H4</f>
        <v>152</v>
      </c>
    </row>
    <row r="5" spans="1:14" s="268" customFormat="1" ht="33.75" x14ac:dyDescent="0.25">
      <c r="B5" s="1145"/>
      <c r="C5" s="1152"/>
      <c r="D5" s="1128"/>
      <c r="E5" s="500" t="s">
        <v>243</v>
      </c>
      <c r="F5" s="262" t="s">
        <v>249</v>
      </c>
      <c r="G5" s="485">
        <f>'اسعار الخامات'!E78</f>
        <v>152</v>
      </c>
      <c r="H5" s="497">
        <v>1</v>
      </c>
      <c r="I5" s="621"/>
      <c r="J5" s="622">
        <f t="shared" ref="J5:J16" si="0">G5*H5</f>
        <v>152</v>
      </c>
      <c r="N5" s="312" t="s">
        <v>963</v>
      </c>
    </row>
    <row r="6" spans="1:14" s="268" customFormat="1" ht="96" customHeight="1" x14ac:dyDescent="0.25">
      <c r="B6" s="1145"/>
      <c r="C6" s="1152"/>
      <c r="D6" s="1128"/>
      <c r="E6" s="500" t="s">
        <v>244</v>
      </c>
      <c r="F6" s="262" t="s">
        <v>249</v>
      </c>
      <c r="G6" s="485">
        <f>'اسعار الخامات'!E79</f>
        <v>433</v>
      </c>
      <c r="H6" s="497">
        <v>1</v>
      </c>
      <c r="I6" s="621"/>
      <c r="J6" s="622">
        <f t="shared" si="0"/>
        <v>433</v>
      </c>
      <c r="N6" s="796" t="s">
        <v>964</v>
      </c>
    </row>
    <row r="7" spans="1:14" s="268" customFormat="1" ht="60" x14ac:dyDescent="0.25">
      <c r="B7" s="1145"/>
      <c r="C7" s="1152"/>
      <c r="D7" s="1128"/>
      <c r="E7" s="500" t="s">
        <v>248</v>
      </c>
      <c r="F7" s="262" t="s">
        <v>249</v>
      </c>
      <c r="G7" s="485">
        <f>'اسعار الخامات'!E80</f>
        <v>1077</v>
      </c>
      <c r="H7" s="497">
        <f>1/8</f>
        <v>0.125</v>
      </c>
      <c r="I7" s="621"/>
      <c r="J7" s="622">
        <f t="shared" si="0"/>
        <v>134.625</v>
      </c>
      <c r="N7" s="796" t="s">
        <v>965</v>
      </c>
    </row>
    <row r="8" spans="1:14" s="268" customFormat="1" ht="33.75" x14ac:dyDescent="0.25">
      <c r="B8" s="1145"/>
      <c r="C8" s="1152"/>
      <c r="D8" s="1128"/>
      <c r="E8" s="500" t="s">
        <v>245</v>
      </c>
      <c r="F8" s="262" t="s">
        <v>249</v>
      </c>
      <c r="G8" s="485">
        <f>'اسعار الخامات'!E81</f>
        <v>1695</v>
      </c>
      <c r="H8" s="497">
        <f>1/8</f>
        <v>0.125</v>
      </c>
      <c r="I8" s="621"/>
      <c r="J8" s="622">
        <f t="shared" si="0"/>
        <v>211.875</v>
      </c>
    </row>
    <row r="9" spans="1:14" s="268" customFormat="1" ht="33.75" x14ac:dyDescent="0.25">
      <c r="B9" s="1145"/>
      <c r="C9" s="1152"/>
      <c r="D9" s="1128"/>
      <c r="E9" s="500" t="s">
        <v>246</v>
      </c>
      <c r="F9" s="262" t="s">
        <v>249</v>
      </c>
      <c r="G9" s="485">
        <f>'اسعار الخامات'!E82</f>
        <v>328</v>
      </c>
      <c r="H9" s="497">
        <v>0.5</v>
      </c>
      <c r="I9" s="621"/>
      <c r="J9" s="622">
        <f t="shared" si="0"/>
        <v>164</v>
      </c>
    </row>
    <row r="10" spans="1:14" s="268" customFormat="1" ht="33.75" x14ac:dyDescent="0.25">
      <c r="B10" s="1145"/>
      <c r="C10" s="1152"/>
      <c r="D10" s="1128"/>
      <c r="E10" s="500" t="s">
        <v>247</v>
      </c>
      <c r="F10" s="262" t="s">
        <v>249</v>
      </c>
      <c r="G10" s="485">
        <f>'اسعار الخامات'!E83</f>
        <v>300</v>
      </c>
      <c r="H10" s="497">
        <v>0.5</v>
      </c>
      <c r="I10" s="621"/>
      <c r="J10" s="622">
        <f t="shared" si="0"/>
        <v>150</v>
      </c>
    </row>
    <row r="11" spans="1:14" s="268" customFormat="1" ht="33.75" x14ac:dyDescent="0.25">
      <c r="B11" s="1145"/>
      <c r="C11" s="1152"/>
      <c r="D11" s="1128"/>
      <c r="E11" s="500" t="s">
        <v>252</v>
      </c>
      <c r="F11" s="262" t="s">
        <v>249</v>
      </c>
      <c r="G11" s="485">
        <f>'اسعار الخامات'!E84</f>
        <v>14</v>
      </c>
      <c r="H11" s="497">
        <v>3</v>
      </c>
      <c r="I11" s="621"/>
      <c r="J11" s="622">
        <f t="shared" si="0"/>
        <v>42</v>
      </c>
    </row>
    <row r="12" spans="1:14" s="268" customFormat="1" ht="33.75" x14ac:dyDescent="0.25">
      <c r="B12" s="1145"/>
      <c r="C12" s="1152"/>
      <c r="D12" s="1128"/>
      <c r="E12" s="500" t="s">
        <v>253</v>
      </c>
      <c r="F12" s="262" t="s">
        <v>249</v>
      </c>
      <c r="G12" s="485">
        <f>'اسعار الخامات'!E85</f>
        <v>67</v>
      </c>
      <c r="H12" s="497">
        <v>10</v>
      </c>
      <c r="I12" s="621"/>
      <c r="J12" s="622">
        <f t="shared" si="0"/>
        <v>670</v>
      </c>
    </row>
    <row r="13" spans="1:14" s="268" customFormat="1" ht="33.75" x14ac:dyDescent="0.25">
      <c r="B13" s="1145"/>
      <c r="C13" s="1152"/>
      <c r="D13" s="1128"/>
      <c r="E13" s="500" t="s">
        <v>255</v>
      </c>
      <c r="F13" s="262" t="s">
        <v>194</v>
      </c>
      <c r="G13" s="485">
        <v>420</v>
      </c>
      <c r="H13" s="497">
        <v>1</v>
      </c>
      <c r="I13" s="621"/>
      <c r="J13" s="622">
        <f t="shared" si="0"/>
        <v>420</v>
      </c>
    </row>
    <row r="14" spans="1:14" s="268" customFormat="1" ht="33.75" x14ac:dyDescent="0.25">
      <c r="B14" s="1145"/>
      <c r="C14" s="1152"/>
      <c r="D14" s="1137"/>
      <c r="E14" s="500" t="s">
        <v>256</v>
      </c>
      <c r="F14" s="262" t="s">
        <v>194</v>
      </c>
      <c r="G14" s="485">
        <v>50</v>
      </c>
      <c r="H14" s="497">
        <v>1</v>
      </c>
      <c r="I14" s="621"/>
      <c r="J14" s="622">
        <f t="shared" si="0"/>
        <v>50</v>
      </c>
    </row>
    <row r="15" spans="1:14" s="268" customFormat="1" ht="34.5" thickBot="1" x14ac:dyDescent="0.3">
      <c r="B15" s="1145"/>
      <c r="C15" s="1152"/>
      <c r="D15" s="1139"/>
      <c r="E15" s="500" t="s">
        <v>250</v>
      </c>
      <c r="F15" s="262" t="s">
        <v>194</v>
      </c>
      <c r="G15" s="485">
        <f>220</f>
        <v>220</v>
      </c>
      <c r="H15" s="497">
        <v>1</v>
      </c>
      <c r="I15" s="621"/>
      <c r="J15" s="622">
        <f t="shared" si="0"/>
        <v>220</v>
      </c>
    </row>
    <row r="16" spans="1:14" s="268" customFormat="1" ht="34.5" thickBot="1" x14ac:dyDescent="0.3">
      <c r="B16" s="1146"/>
      <c r="C16" s="1153"/>
      <c r="D16" s="624" t="s">
        <v>11</v>
      </c>
      <c r="E16" s="625" t="s">
        <v>254</v>
      </c>
      <c r="F16" s="626" t="s">
        <v>70</v>
      </c>
      <c r="G16" s="636">
        <v>745</v>
      </c>
      <c r="H16" s="627">
        <v>1</v>
      </c>
      <c r="I16" s="628"/>
      <c r="J16" s="629">
        <f t="shared" si="0"/>
        <v>745</v>
      </c>
    </row>
    <row r="17" spans="2:12" s="268" customFormat="1" ht="54" customHeight="1" thickBot="1" x14ac:dyDescent="0.3">
      <c r="B17" s="1114" t="s">
        <v>13</v>
      </c>
      <c r="C17" s="1115"/>
      <c r="D17" s="1115"/>
      <c r="E17" s="1147"/>
      <c r="F17" s="1147"/>
      <c r="G17" s="1147"/>
      <c r="H17" s="1147"/>
      <c r="I17" s="1148"/>
      <c r="J17" s="630">
        <f>SUM(J4:J16)</f>
        <v>3544.5</v>
      </c>
      <c r="K17" s="543">
        <f>+J17*1.25</f>
        <v>4430.625</v>
      </c>
      <c r="L17" s="544">
        <f>K17/J17-1</f>
        <v>0.25</v>
      </c>
    </row>
    <row r="18" spans="2:12" ht="35.1" customHeight="1" x14ac:dyDescent="0.25">
      <c r="D18" s="34"/>
    </row>
    <row r="19" spans="2:12" ht="35.1" customHeight="1" x14ac:dyDescent="0.25">
      <c r="D19" s="34"/>
    </row>
    <row r="20" spans="2:12" ht="35.1" customHeight="1" x14ac:dyDescent="0.25">
      <c r="D20" s="34"/>
    </row>
    <row r="21" spans="2:12" ht="35.1" customHeight="1" x14ac:dyDescent="0.25">
      <c r="D21" s="34"/>
    </row>
    <row r="22" spans="2:12" ht="35.1" customHeight="1" x14ac:dyDescent="0.25">
      <c r="D22" s="34"/>
    </row>
    <row r="23" spans="2:12" ht="35.1" customHeight="1" x14ac:dyDescent="0.25">
      <c r="D23" s="34"/>
    </row>
    <row r="24" spans="2:12" ht="35.1" customHeight="1" x14ac:dyDescent="0.25">
      <c r="D24" s="34"/>
    </row>
    <row r="25" spans="2:12" ht="35.1" customHeight="1" x14ac:dyDescent="0.25">
      <c r="D25" s="34"/>
    </row>
    <row r="26" spans="2:12" ht="35.1" customHeight="1" x14ac:dyDescent="0.25">
      <c r="D26" s="34"/>
    </row>
    <row r="27" spans="2:12" ht="35.1" customHeight="1" x14ac:dyDescent="0.25">
      <c r="D27" s="34"/>
    </row>
    <row r="28" spans="2:12" ht="35.1" customHeight="1" x14ac:dyDescent="0.25">
      <c r="D28" s="34"/>
    </row>
    <row r="29" spans="2:12" ht="35.1" customHeight="1" x14ac:dyDescent="0.25">
      <c r="D29" s="34"/>
    </row>
    <row r="30" spans="2:12" ht="35.1" customHeight="1" x14ac:dyDescent="0.25">
      <c r="D30" s="34"/>
    </row>
    <row r="31" spans="2:12" ht="35.1" customHeight="1" x14ac:dyDescent="0.25">
      <c r="D31" s="34"/>
    </row>
    <row r="32" spans="2:12" ht="35.1" customHeight="1" x14ac:dyDescent="0.25">
      <c r="D32" s="34"/>
    </row>
    <row r="33" spans="4:4" ht="35.1" customHeight="1" x14ac:dyDescent="0.25">
      <c r="D33" s="34"/>
    </row>
    <row r="34" spans="4:4" ht="35.1" customHeight="1" x14ac:dyDescent="0.25">
      <c r="D34" s="34"/>
    </row>
    <row r="35" spans="4:4" ht="35.1" customHeight="1" x14ac:dyDescent="0.25">
      <c r="D35" s="34"/>
    </row>
    <row r="36" spans="4:4" ht="35.1" customHeight="1" x14ac:dyDescent="0.25">
      <c r="D36" s="34"/>
    </row>
    <row r="37" spans="4:4" ht="35.1" customHeight="1" x14ac:dyDescent="0.25">
      <c r="D37" s="34"/>
    </row>
    <row r="38" spans="4:4" ht="35.1" customHeight="1" x14ac:dyDescent="0.25">
      <c r="D38" s="34"/>
    </row>
    <row r="39" spans="4:4" ht="35.1" customHeight="1" x14ac:dyDescent="0.25">
      <c r="D39" s="34"/>
    </row>
    <row r="40" spans="4:4" ht="35.1" customHeight="1" x14ac:dyDescent="0.25">
      <c r="D40" s="34"/>
    </row>
    <row r="41" spans="4:4" ht="35.1" customHeight="1" x14ac:dyDescent="0.25">
      <c r="D41" s="34"/>
    </row>
    <row r="42" spans="4:4" ht="35.1" customHeight="1" x14ac:dyDescent="0.25">
      <c r="D42" s="34"/>
    </row>
    <row r="43" spans="4:4" ht="35.1" customHeight="1" x14ac:dyDescent="0.25">
      <c r="D43" s="34"/>
    </row>
    <row r="44" spans="4:4" ht="35.1" customHeight="1" x14ac:dyDescent="0.25">
      <c r="D44" s="34"/>
    </row>
    <row r="45" spans="4:4" ht="35.1" customHeight="1" x14ac:dyDescent="0.25">
      <c r="D45" s="34"/>
    </row>
    <row r="46" spans="4:4" ht="35.1" customHeight="1" x14ac:dyDescent="0.25">
      <c r="D46" s="34"/>
    </row>
    <row r="47" spans="4:4" ht="35.1" customHeight="1" x14ac:dyDescent="0.25">
      <c r="D47" s="34"/>
    </row>
    <row r="48" spans="4:4" ht="35.1" customHeight="1" x14ac:dyDescent="0.25">
      <c r="D48" s="34"/>
    </row>
    <row r="49" spans="4:4" ht="35.1" customHeight="1" x14ac:dyDescent="0.25">
      <c r="D49" s="34"/>
    </row>
    <row r="50" spans="4:4" ht="35.1" customHeight="1" x14ac:dyDescent="0.25">
      <c r="D50" s="34"/>
    </row>
    <row r="51" spans="4:4" ht="35.1" customHeight="1" x14ac:dyDescent="0.25">
      <c r="D51" s="34"/>
    </row>
    <row r="52" spans="4:4" ht="35.1" customHeight="1" x14ac:dyDescent="0.25">
      <c r="D52" s="34"/>
    </row>
    <row r="53" spans="4:4" ht="35.1" customHeight="1" x14ac:dyDescent="0.25">
      <c r="D53" s="34"/>
    </row>
    <row r="54" spans="4:4" ht="35.1" customHeight="1" x14ac:dyDescent="0.25">
      <c r="D54" s="34"/>
    </row>
    <row r="55" spans="4:4" ht="35.1" customHeight="1" x14ac:dyDescent="0.25">
      <c r="D55" s="34"/>
    </row>
    <row r="56" spans="4:4" ht="35.1" customHeight="1" x14ac:dyDescent="0.25">
      <c r="D56" s="34"/>
    </row>
    <row r="57" spans="4:4" ht="35.1" customHeight="1" x14ac:dyDescent="0.25">
      <c r="D57" s="34"/>
    </row>
    <row r="58" spans="4:4" ht="35.1" customHeight="1" x14ac:dyDescent="0.25">
      <c r="D58" s="34"/>
    </row>
    <row r="59" spans="4:4" ht="35.1" customHeight="1" x14ac:dyDescent="0.25">
      <c r="D59" s="34"/>
    </row>
    <row r="60" spans="4:4" ht="35.1" customHeight="1" x14ac:dyDescent="0.25">
      <c r="D60" s="34"/>
    </row>
    <row r="61" spans="4:4" ht="35.1" customHeight="1" x14ac:dyDescent="0.25">
      <c r="D61" s="34"/>
    </row>
    <row r="62" spans="4:4" ht="35.1" customHeight="1" x14ac:dyDescent="0.25">
      <c r="D62" s="34"/>
    </row>
    <row r="63" spans="4:4" ht="35.1" customHeight="1" x14ac:dyDescent="0.25">
      <c r="D63" s="34"/>
    </row>
    <row r="64" spans="4:4" ht="35.1" customHeight="1" x14ac:dyDescent="0.25">
      <c r="D64" s="34"/>
    </row>
    <row r="65" spans="4:4" ht="35.1" customHeight="1" x14ac:dyDescent="0.25">
      <c r="D65" s="34"/>
    </row>
    <row r="66" spans="4:4" ht="35.1" customHeight="1" x14ac:dyDescent="0.25">
      <c r="D66" s="34"/>
    </row>
    <row r="67" spans="4:4" ht="35.1" customHeight="1" x14ac:dyDescent="0.25">
      <c r="D67" s="34"/>
    </row>
    <row r="68" spans="4:4" ht="35.1" customHeight="1" x14ac:dyDescent="0.25">
      <c r="D68" s="34"/>
    </row>
    <row r="69" spans="4:4" ht="35.1" customHeight="1" x14ac:dyDescent="0.25">
      <c r="D69" s="34"/>
    </row>
    <row r="70" spans="4:4" ht="35.1" customHeight="1" x14ac:dyDescent="0.25">
      <c r="D70" s="34"/>
    </row>
    <row r="71" spans="4:4" ht="35.1" customHeight="1" x14ac:dyDescent="0.25">
      <c r="D71" s="34"/>
    </row>
    <row r="72" spans="4:4" ht="35.1" customHeight="1" x14ac:dyDescent="0.25">
      <c r="D72" s="34"/>
    </row>
    <row r="73" spans="4:4" ht="35.1" customHeight="1" x14ac:dyDescent="0.25">
      <c r="D73" s="34"/>
    </row>
    <row r="74" spans="4:4" ht="35.1" customHeight="1" x14ac:dyDescent="0.25">
      <c r="D74" s="34"/>
    </row>
    <row r="75" spans="4:4" ht="35.1" customHeight="1" x14ac:dyDescent="0.25">
      <c r="D75" s="34"/>
    </row>
    <row r="76" spans="4:4" ht="35.1" customHeight="1" x14ac:dyDescent="0.25">
      <c r="D76" s="34"/>
    </row>
    <row r="77" spans="4:4" ht="35.1" customHeight="1" x14ac:dyDescent="0.25">
      <c r="D77" s="34"/>
    </row>
    <row r="78" spans="4:4" ht="35.1" customHeight="1" x14ac:dyDescent="0.25">
      <c r="D78" s="34"/>
    </row>
    <row r="79" spans="4:4" ht="35.1" customHeight="1" x14ac:dyDescent="0.25">
      <c r="D79" s="34"/>
    </row>
    <row r="80" spans="4:4" ht="35.1" customHeight="1" x14ac:dyDescent="0.25">
      <c r="D80" s="34"/>
    </row>
    <row r="81" spans="4:4" ht="35.1" customHeight="1" x14ac:dyDescent="0.25">
      <c r="D81" s="34"/>
    </row>
    <row r="82" spans="4:4" ht="35.1" customHeight="1" x14ac:dyDescent="0.25">
      <c r="D82" s="34"/>
    </row>
    <row r="83" spans="4:4" ht="35.1" customHeight="1" x14ac:dyDescent="0.25">
      <c r="D83" s="34"/>
    </row>
    <row r="84" spans="4:4" ht="35.1" customHeight="1" x14ac:dyDescent="0.25">
      <c r="D84" s="34"/>
    </row>
    <row r="85" spans="4:4" ht="35.1" customHeight="1" x14ac:dyDescent="0.25">
      <c r="D85" s="34"/>
    </row>
    <row r="86" spans="4:4" ht="35.1" customHeight="1" x14ac:dyDescent="0.25">
      <c r="D86" s="34"/>
    </row>
    <row r="87" spans="4:4" ht="35.1" customHeight="1" x14ac:dyDescent="0.25">
      <c r="D87" s="34"/>
    </row>
    <row r="88" spans="4:4" ht="35.1" customHeight="1" x14ac:dyDescent="0.25">
      <c r="D88" s="34"/>
    </row>
    <row r="89" spans="4:4" ht="35.1" customHeight="1" x14ac:dyDescent="0.25">
      <c r="D89" s="34"/>
    </row>
    <row r="90" spans="4:4" ht="35.1" customHeight="1" x14ac:dyDescent="0.25">
      <c r="D90" s="34"/>
    </row>
    <row r="91" spans="4:4" ht="35.1" customHeight="1" x14ac:dyDescent="0.25">
      <c r="D91" s="34"/>
    </row>
    <row r="92" spans="4:4" ht="35.1" customHeight="1" x14ac:dyDescent="0.25">
      <c r="D92" s="34"/>
    </row>
    <row r="93" spans="4:4" ht="35.1" customHeight="1" x14ac:dyDescent="0.25">
      <c r="D93" s="34"/>
    </row>
    <row r="94" spans="4:4" ht="35.1" customHeight="1" x14ac:dyDescent="0.25">
      <c r="D94" s="34"/>
    </row>
    <row r="95" spans="4:4" ht="35.1" customHeight="1" x14ac:dyDescent="0.25">
      <c r="D95" s="34"/>
    </row>
    <row r="96" spans="4:4" ht="35.1" customHeight="1" x14ac:dyDescent="0.25">
      <c r="D96" s="34"/>
    </row>
    <row r="97" spans="4:4" ht="35.1" customHeight="1" x14ac:dyDescent="0.25">
      <c r="D97" s="34"/>
    </row>
    <row r="98" spans="4:4" ht="35.1" customHeight="1" x14ac:dyDescent="0.25">
      <c r="D98" s="34"/>
    </row>
    <row r="99" spans="4:4" ht="35.1" customHeight="1" x14ac:dyDescent="0.25">
      <c r="D99" s="34"/>
    </row>
    <row r="100" spans="4:4" ht="35.1" customHeight="1" x14ac:dyDescent="0.25">
      <c r="D100" s="34"/>
    </row>
    <row r="101" spans="4:4" ht="35.1" customHeight="1" x14ac:dyDescent="0.25">
      <c r="D101" s="34"/>
    </row>
    <row r="102" spans="4:4" ht="35.1" customHeight="1" x14ac:dyDescent="0.25">
      <c r="D102" s="34"/>
    </row>
    <row r="103" spans="4:4" ht="35.1" customHeight="1" x14ac:dyDescent="0.25">
      <c r="D103" s="34"/>
    </row>
    <row r="104" spans="4:4" ht="35.1" customHeight="1" x14ac:dyDescent="0.25">
      <c r="D104" s="34"/>
    </row>
    <row r="105" spans="4:4" ht="35.1" customHeight="1" x14ac:dyDescent="0.25">
      <c r="D105" s="34"/>
    </row>
    <row r="106" spans="4:4" ht="35.1" customHeight="1" x14ac:dyDescent="0.25">
      <c r="D106" s="34"/>
    </row>
    <row r="107" spans="4:4" ht="35.1" customHeight="1" x14ac:dyDescent="0.25">
      <c r="D107" s="34"/>
    </row>
    <row r="108" spans="4:4" ht="35.1" customHeight="1" x14ac:dyDescent="0.25">
      <c r="D108" s="34"/>
    </row>
    <row r="109" spans="4:4" ht="35.1" customHeight="1" x14ac:dyDescent="0.25">
      <c r="D109" s="34"/>
    </row>
    <row r="110" spans="4:4" ht="35.1" customHeight="1" x14ac:dyDescent="0.25">
      <c r="D110" s="34"/>
    </row>
    <row r="111" spans="4:4" ht="35.1" customHeight="1" x14ac:dyDescent="0.25">
      <c r="D111" s="34"/>
    </row>
    <row r="112" spans="4:4" ht="35.1" customHeight="1" x14ac:dyDescent="0.25">
      <c r="D112" s="34"/>
    </row>
    <row r="113" spans="4:4" ht="35.1" customHeight="1" x14ac:dyDescent="0.25">
      <c r="D113" s="34"/>
    </row>
    <row r="114" spans="4:4" ht="35.1" customHeight="1" x14ac:dyDescent="0.25">
      <c r="D114" s="34"/>
    </row>
    <row r="115" spans="4:4" ht="35.1" customHeight="1" x14ac:dyDescent="0.25">
      <c r="D115" s="34"/>
    </row>
    <row r="116" spans="4:4" ht="35.1" customHeight="1" x14ac:dyDescent="0.25">
      <c r="D116" s="34"/>
    </row>
    <row r="117" spans="4:4" ht="35.1" customHeight="1" x14ac:dyDescent="0.25">
      <c r="D117" s="34"/>
    </row>
    <row r="118" spans="4:4" ht="35.1" customHeight="1" x14ac:dyDescent="0.25">
      <c r="D118" s="34"/>
    </row>
    <row r="119" spans="4:4" ht="35.1" customHeight="1" x14ac:dyDescent="0.25">
      <c r="D119" s="34"/>
    </row>
    <row r="120" spans="4:4" ht="35.1" customHeight="1" x14ac:dyDescent="0.25">
      <c r="D120" s="34"/>
    </row>
    <row r="121" spans="4:4" ht="35.1" customHeight="1" x14ac:dyDescent="0.25">
      <c r="D121" s="34"/>
    </row>
    <row r="122" spans="4:4" ht="35.1" customHeight="1" x14ac:dyDescent="0.25">
      <c r="D122" s="34"/>
    </row>
    <row r="123" spans="4:4" ht="35.1" customHeight="1" x14ac:dyDescent="0.25">
      <c r="D123" s="34"/>
    </row>
    <row r="124" spans="4:4" ht="35.1" customHeight="1" x14ac:dyDescent="0.25">
      <c r="D124" s="34"/>
    </row>
    <row r="125" spans="4:4" ht="35.1" customHeight="1" x14ac:dyDescent="0.25">
      <c r="D125" s="34"/>
    </row>
    <row r="126" spans="4:4" ht="35.1" customHeight="1" x14ac:dyDescent="0.25">
      <c r="D126" s="34"/>
    </row>
    <row r="127" spans="4:4" ht="35.1" customHeight="1" x14ac:dyDescent="0.25">
      <c r="D127" s="34"/>
    </row>
    <row r="128" spans="4:4" ht="35.1" customHeight="1" x14ac:dyDescent="0.25">
      <c r="D128" s="34"/>
    </row>
    <row r="129" spans="4:4" ht="35.1" customHeight="1" x14ac:dyDescent="0.25">
      <c r="D129" s="34"/>
    </row>
    <row r="130" spans="4:4" ht="35.1" customHeight="1" x14ac:dyDescent="0.25">
      <c r="D130" s="34"/>
    </row>
    <row r="131" spans="4:4" ht="35.1" customHeight="1" x14ac:dyDescent="0.25">
      <c r="D131" s="34"/>
    </row>
    <row r="132" spans="4:4" ht="35.1" customHeight="1" x14ac:dyDescent="0.25">
      <c r="D132" s="34"/>
    </row>
    <row r="133" spans="4:4" ht="35.1" customHeight="1" x14ac:dyDescent="0.25">
      <c r="D133" s="34"/>
    </row>
    <row r="134" spans="4:4" ht="35.1" customHeight="1" x14ac:dyDescent="0.25">
      <c r="D134" s="34"/>
    </row>
    <row r="135" spans="4:4" ht="35.1" customHeight="1" x14ac:dyDescent="0.25">
      <c r="D135" s="34"/>
    </row>
    <row r="136" spans="4:4" ht="35.1" customHeight="1" x14ac:dyDescent="0.25">
      <c r="D136" s="34"/>
    </row>
    <row r="137" spans="4:4" ht="35.1" customHeight="1" x14ac:dyDescent="0.25">
      <c r="D137" s="34"/>
    </row>
    <row r="138" spans="4:4" ht="35.1" customHeight="1" x14ac:dyDescent="0.25">
      <c r="D138" s="34"/>
    </row>
    <row r="139" spans="4:4" ht="35.1" customHeight="1" x14ac:dyDescent="0.25">
      <c r="D139" s="34"/>
    </row>
    <row r="140" spans="4:4" ht="35.1" customHeight="1" x14ac:dyDescent="0.25">
      <c r="D140" s="34"/>
    </row>
    <row r="141" spans="4:4" ht="35.1" customHeight="1" x14ac:dyDescent="0.25">
      <c r="D141" s="34"/>
    </row>
    <row r="142" spans="4:4" ht="35.1" customHeight="1" x14ac:dyDescent="0.25">
      <c r="D142" s="34"/>
    </row>
    <row r="143" spans="4:4" ht="35.1" customHeight="1" x14ac:dyDescent="0.25">
      <c r="D143" s="34"/>
    </row>
    <row r="144" spans="4:4" ht="35.1" customHeight="1" x14ac:dyDescent="0.25">
      <c r="D144" s="34"/>
    </row>
    <row r="145" spans="4:4" ht="35.1" customHeight="1" x14ac:dyDescent="0.25">
      <c r="D145" s="34"/>
    </row>
    <row r="146" spans="4:4" ht="35.1" customHeight="1" x14ac:dyDescent="0.25">
      <c r="D146" s="34"/>
    </row>
    <row r="147" spans="4:4" ht="35.1" customHeight="1" x14ac:dyDescent="0.25">
      <c r="D147" s="34"/>
    </row>
    <row r="148" spans="4:4" ht="35.1" customHeight="1" x14ac:dyDescent="0.25">
      <c r="D148" s="34"/>
    </row>
    <row r="149" spans="4:4" ht="35.1" customHeight="1" x14ac:dyDescent="0.25">
      <c r="D149" s="34"/>
    </row>
    <row r="150" spans="4:4" ht="35.1" customHeight="1" x14ac:dyDescent="0.25">
      <c r="D150" s="34"/>
    </row>
    <row r="151" spans="4:4" ht="35.1" customHeight="1" x14ac:dyDescent="0.25">
      <c r="D151" s="34"/>
    </row>
    <row r="152" spans="4:4" ht="35.1" customHeight="1" x14ac:dyDescent="0.25">
      <c r="D152" s="34"/>
    </row>
    <row r="153" spans="4:4" ht="35.1" customHeight="1" x14ac:dyDescent="0.25">
      <c r="D153" s="34"/>
    </row>
    <row r="154" spans="4:4" ht="35.1" customHeight="1" x14ac:dyDescent="0.25">
      <c r="D154" s="34"/>
    </row>
    <row r="155" spans="4:4" ht="35.1" customHeight="1" x14ac:dyDescent="0.25">
      <c r="D155" s="34"/>
    </row>
    <row r="156" spans="4:4" ht="35.1" customHeight="1" x14ac:dyDescent="0.25">
      <c r="D156" s="34"/>
    </row>
    <row r="157" spans="4:4" ht="35.1" customHeight="1" x14ac:dyDescent="0.25">
      <c r="D157" s="34"/>
    </row>
    <row r="158" spans="4:4" ht="35.1" customHeight="1" x14ac:dyDescent="0.25">
      <c r="D158" s="34"/>
    </row>
    <row r="159" spans="4:4" ht="35.1" customHeight="1" x14ac:dyDescent="0.25">
      <c r="D159" s="34"/>
    </row>
    <row r="160" spans="4:4" ht="35.1" customHeight="1" x14ac:dyDescent="0.25">
      <c r="D160" s="34"/>
    </row>
    <row r="161" spans="4:4" ht="35.1" customHeight="1" x14ac:dyDescent="0.25">
      <c r="D161" s="34"/>
    </row>
    <row r="162" spans="4:4" ht="35.1" customHeight="1" x14ac:dyDescent="0.25">
      <c r="D162" s="34"/>
    </row>
    <row r="163" spans="4:4" ht="35.1" customHeight="1" x14ac:dyDescent="0.25">
      <c r="D163" s="34"/>
    </row>
    <row r="164" spans="4:4" ht="35.1" customHeight="1" x14ac:dyDescent="0.25">
      <c r="D164" s="34"/>
    </row>
    <row r="165" spans="4:4" ht="35.1" customHeight="1" x14ac:dyDescent="0.25">
      <c r="D165" s="34"/>
    </row>
    <row r="166" spans="4:4" ht="35.1" customHeight="1" x14ac:dyDescent="0.25">
      <c r="D166" s="34"/>
    </row>
    <row r="167" spans="4:4" ht="35.1" customHeight="1" x14ac:dyDescent="0.25">
      <c r="D167" s="34"/>
    </row>
    <row r="168" spans="4:4" ht="35.1" customHeight="1" x14ac:dyDescent="0.25">
      <c r="D168" s="34"/>
    </row>
    <row r="169" spans="4:4" ht="35.1" customHeight="1" x14ac:dyDescent="0.25">
      <c r="D169" s="34"/>
    </row>
    <row r="170" spans="4:4" ht="35.1" customHeight="1" x14ac:dyDescent="0.25">
      <c r="D170" s="34"/>
    </row>
    <row r="171" spans="4:4" ht="35.1" customHeight="1" x14ac:dyDescent="0.25">
      <c r="D171" s="34"/>
    </row>
    <row r="172" spans="4:4" ht="35.1" customHeight="1" x14ac:dyDescent="0.25">
      <c r="D172" s="34"/>
    </row>
    <row r="173" spans="4:4" ht="35.1" customHeight="1" x14ac:dyDescent="0.25">
      <c r="D173" s="34"/>
    </row>
    <row r="174" spans="4:4" ht="35.1" customHeight="1" x14ac:dyDescent="0.25">
      <c r="D174" s="34"/>
    </row>
    <row r="175" spans="4:4" ht="35.1" customHeight="1" x14ac:dyDescent="0.25">
      <c r="D175" s="34"/>
    </row>
    <row r="176" spans="4:4" ht="35.1" customHeight="1" x14ac:dyDescent="0.25">
      <c r="D176" s="34"/>
    </row>
    <row r="177" spans="4:4" ht="35.1" customHeight="1" x14ac:dyDescent="0.25">
      <c r="D177" s="34"/>
    </row>
    <row r="178" spans="4:4" ht="35.1" customHeight="1" x14ac:dyDescent="0.25">
      <c r="D178" s="34"/>
    </row>
    <row r="179" spans="4:4" ht="35.1" customHeight="1" x14ac:dyDescent="0.25">
      <c r="D179" s="34"/>
    </row>
    <row r="180" spans="4:4" ht="35.1" customHeight="1" x14ac:dyDescent="0.25">
      <c r="D180" s="34"/>
    </row>
    <row r="181" spans="4:4" ht="35.1" customHeight="1" x14ac:dyDescent="0.25">
      <c r="D181" s="34"/>
    </row>
    <row r="182" spans="4:4" ht="35.1" customHeight="1" x14ac:dyDescent="0.25">
      <c r="D182" s="34"/>
    </row>
    <row r="183" spans="4:4" ht="35.1" customHeight="1" x14ac:dyDescent="0.25">
      <c r="D183" s="34"/>
    </row>
    <row r="184" spans="4:4" ht="35.1" customHeight="1" x14ac:dyDescent="0.25">
      <c r="D184" s="34"/>
    </row>
    <row r="185" spans="4:4" ht="35.1" customHeight="1" x14ac:dyDescent="0.25">
      <c r="D185" s="34"/>
    </row>
    <row r="186" spans="4:4" ht="35.1" customHeight="1" x14ac:dyDescent="0.25">
      <c r="D186" s="34"/>
    </row>
    <row r="187" spans="4:4" ht="35.1" customHeight="1" x14ac:dyDescent="0.25">
      <c r="D187" s="34"/>
    </row>
    <row r="188" spans="4:4" ht="35.1" customHeight="1" x14ac:dyDescent="0.25">
      <c r="D188" s="34"/>
    </row>
    <row r="189" spans="4:4" ht="35.1" customHeight="1" x14ac:dyDescent="0.25">
      <c r="D189" s="34"/>
    </row>
    <row r="190" spans="4:4" ht="35.1" customHeight="1" x14ac:dyDescent="0.25">
      <c r="D190" s="34"/>
    </row>
    <row r="191" spans="4:4" ht="35.1" customHeight="1" x14ac:dyDescent="0.25">
      <c r="D191" s="34"/>
    </row>
    <row r="192" spans="4:4" ht="35.1" customHeight="1" x14ac:dyDescent="0.25">
      <c r="D192" s="34"/>
    </row>
    <row r="193" spans="4:4" ht="35.1" customHeight="1" x14ac:dyDescent="0.25">
      <c r="D193" s="34"/>
    </row>
    <row r="194" spans="4:4" ht="35.1" customHeight="1" x14ac:dyDescent="0.25">
      <c r="D194" s="34"/>
    </row>
    <row r="195" spans="4:4" ht="35.1" customHeight="1" x14ac:dyDescent="0.25">
      <c r="D195" s="34"/>
    </row>
    <row r="196" spans="4:4" ht="35.1" customHeight="1" x14ac:dyDescent="0.25">
      <c r="D196" s="34"/>
    </row>
    <row r="197" spans="4:4" ht="35.1" customHeight="1" x14ac:dyDescent="0.25">
      <c r="D197" s="34"/>
    </row>
    <row r="198" spans="4:4" ht="35.1" customHeight="1" x14ac:dyDescent="0.25">
      <c r="D198" s="34"/>
    </row>
    <row r="199" spans="4:4" ht="35.1" customHeight="1" x14ac:dyDescent="0.25">
      <c r="D199" s="34"/>
    </row>
    <row r="200" spans="4:4" ht="35.1" customHeight="1" x14ac:dyDescent="0.25">
      <c r="D200" s="34"/>
    </row>
    <row r="201" spans="4:4" ht="35.1" customHeight="1" x14ac:dyDescent="0.25">
      <c r="D201" s="34"/>
    </row>
    <row r="202" spans="4:4" ht="35.1" customHeight="1" x14ac:dyDescent="0.25">
      <c r="D202" s="34"/>
    </row>
    <row r="203" spans="4:4" ht="35.1" customHeight="1" x14ac:dyDescent="0.25">
      <c r="D203" s="34"/>
    </row>
    <row r="204" spans="4:4" ht="35.1" customHeight="1" x14ac:dyDescent="0.25">
      <c r="D204" s="34"/>
    </row>
    <row r="205" spans="4:4" ht="35.1" customHeight="1" x14ac:dyDescent="0.25">
      <c r="D205" s="34"/>
    </row>
    <row r="206" spans="4:4" ht="35.1" customHeight="1" x14ac:dyDescent="0.25">
      <c r="D206" s="34"/>
    </row>
    <row r="207" spans="4:4" ht="35.1" customHeight="1" x14ac:dyDescent="0.25">
      <c r="D207" s="34"/>
    </row>
    <row r="208" spans="4:4" ht="35.1" customHeight="1" x14ac:dyDescent="0.25">
      <c r="D208" s="34"/>
    </row>
    <row r="209" spans="4:4" ht="35.1" customHeight="1" x14ac:dyDescent="0.25">
      <c r="D209" s="34"/>
    </row>
    <row r="210" spans="4:4" ht="35.1" customHeight="1" x14ac:dyDescent="0.25">
      <c r="D210" s="34"/>
    </row>
    <row r="211" spans="4:4" ht="35.1" customHeight="1" x14ac:dyDescent="0.25">
      <c r="D211" s="34"/>
    </row>
    <row r="212" spans="4:4" ht="35.1" customHeight="1" x14ac:dyDescent="0.25">
      <c r="D212" s="34"/>
    </row>
    <row r="213" spans="4:4" ht="35.1" customHeight="1" x14ac:dyDescent="0.25">
      <c r="D213" s="34"/>
    </row>
    <row r="214" spans="4:4" ht="35.1" customHeight="1" x14ac:dyDescent="0.25">
      <c r="D214" s="34"/>
    </row>
    <row r="215" spans="4:4" ht="35.1" customHeight="1" x14ac:dyDescent="0.25">
      <c r="D215" s="34"/>
    </row>
    <row r="216" spans="4:4" ht="35.1" customHeight="1" x14ac:dyDescent="0.25">
      <c r="D216" s="34"/>
    </row>
    <row r="217" spans="4:4" ht="35.1" customHeight="1" x14ac:dyDescent="0.25">
      <c r="D217" s="34"/>
    </row>
    <row r="218" spans="4:4" ht="35.1" customHeight="1" x14ac:dyDescent="0.25">
      <c r="D218" s="34"/>
    </row>
    <row r="219" spans="4:4" ht="35.1" customHeight="1" x14ac:dyDescent="0.25">
      <c r="D219" s="34"/>
    </row>
    <row r="220" spans="4:4" ht="35.1" customHeight="1" x14ac:dyDescent="0.25">
      <c r="D220" s="34"/>
    </row>
    <row r="221" spans="4:4" ht="35.1" customHeight="1" x14ac:dyDescent="0.25">
      <c r="D221" s="34"/>
    </row>
    <row r="222" spans="4:4" ht="35.1" customHeight="1" x14ac:dyDescent="0.25">
      <c r="D222" s="34"/>
    </row>
    <row r="223" spans="4:4" ht="35.1" customHeight="1" x14ac:dyDescent="0.25">
      <c r="D223" s="34"/>
    </row>
    <row r="224" spans="4:4" ht="35.1" customHeight="1" x14ac:dyDescent="0.25">
      <c r="D224" s="34"/>
    </row>
    <row r="225" spans="4:4" ht="35.1" customHeight="1" x14ac:dyDescent="0.25">
      <c r="D225" s="34"/>
    </row>
    <row r="226" spans="4:4" ht="35.1" customHeight="1" x14ac:dyDescent="0.25">
      <c r="D226" s="34"/>
    </row>
    <row r="227" spans="4:4" ht="35.1" customHeight="1" x14ac:dyDescent="0.25">
      <c r="D227" s="34"/>
    </row>
    <row r="228" spans="4:4" ht="35.1" customHeight="1" x14ac:dyDescent="0.25">
      <c r="D228" s="34"/>
    </row>
    <row r="229" spans="4:4" ht="35.1" customHeight="1" x14ac:dyDescent="0.25">
      <c r="D229" s="34"/>
    </row>
    <row r="230" spans="4:4" ht="35.1" customHeight="1" x14ac:dyDescent="0.25">
      <c r="D230" s="34"/>
    </row>
    <row r="231" spans="4:4" ht="35.1" customHeight="1" x14ac:dyDescent="0.25">
      <c r="D231" s="34"/>
    </row>
    <row r="232" spans="4:4" ht="35.1" customHeight="1" x14ac:dyDescent="0.25">
      <c r="D232" s="34"/>
    </row>
    <row r="233" spans="4:4" ht="35.1" customHeight="1" x14ac:dyDescent="0.25">
      <c r="D233" s="34"/>
    </row>
    <row r="234" spans="4:4" ht="35.1" customHeight="1" x14ac:dyDescent="0.25">
      <c r="D234" s="34"/>
    </row>
    <row r="235" spans="4:4" ht="35.1" customHeight="1" x14ac:dyDescent="0.25">
      <c r="D235" s="34"/>
    </row>
    <row r="236" spans="4:4" ht="35.1" customHeight="1" x14ac:dyDescent="0.25">
      <c r="D236" s="34"/>
    </row>
    <row r="237" spans="4:4" ht="35.1" customHeight="1" x14ac:dyDescent="0.25">
      <c r="D237" s="34"/>
    </row>
    <row r="238" spans="4:4" ht="35.1" customHeight="1" x14ac:dyDescent="0.25">
      <c r="D238" s="34"/>
    </row>
    <row r="239" spans="4:4" ht="35.1" customHeight="1" x14ac:dyDescent="0.25">
      <c r="D239" s="34"/>
    </row>
    <row r="240" spans="4:4" ht="35.1" customHeight="1" x14ac:dyDescent="0.25">
      <c r="D240" s="34"/>
    </row>
    <row r="241" spans="4:4" ht="35.1" customHeight="1" x14ac:dyDescent="0.25">
      <c r="D241" s="34"/>
    </row>
    <row r="242" spans="4:4" ht="35.1" customHeight="1" x14ac:dyDescent="0.25">
      <c r="D242" s="34"/>
    </row>
    <row r="243" spans="4:4" ht="35.1" customHeight="1" x14ac:dyDescent="0.25">
      <c r="D243" s="34"/>
    </row>
    <row r="244" spans="4:4" ht="35.1" customHeight="1" x14ac:dyDescent="0.25">
      <c r="D244" s="34"/>
    </row>
    <row r="245" spans="4:4" ht="35.1" customHeight="1" x14ac:dyDescent="0.25">
      <c r="D245" s="34"/>
    </row>
    <row r="246" spans="4:4" ht="35.1" customHeight="1" x14ac:dyDescent="0.25">
      <c r="D246" s="34"/>
    </row>
    <row r="247" spans="4:4" ht="35.1" customHeight="1" x14ac:dyDescent="0.25">
      <c r="D247" s="34"/>
    </row>
    <row r="248" spans="4:4" ht="35.1" customHeight="1" x14ac:dyDescent="0.25">
      <c r="D248" s="34"/>
    </row>
    <row r="249" spans="4:4" ht="35.1" customHeight="1" x14ac:dyDescent="0.25">
      <c r="D249" s="34"/>
    </row>
    <row r="250" spans="4:4" ht="35.1" customHeight="1" x14ac:dyDescent="0.25">
      <c r="D250" s="34"/>
    </row>
    <row r="251" spans="4:4" ht="35.1" customHeight="1" x14ac:dyDescent="0.25">
      <c r="D251" s="34"/>
    </row>
    <row r="252" spans="4:4" ht="35.1" customHeight="1" x14ac:dyDescent="0.25">
      <c r="D252" s="34"/>
    </row>
    <row r="253" spans="4:4" ht="35.1" customHeight="1" x14ac:dyDescent="0.25">
      <c r="D253" s="34"/>
    </row>
    <row r="254" spans="4:4" ht="35.1" customHeight="1" x14ac:dyDescent="0.25">
      <c r="D254" s="34"/>
    </row>
    <row r="255" spans="4:4" ht="35.1" customHeight="1" x14ac:dyDescent="0.25">
      <c r="D255" s="34"/>
    </row>
    <row r="256" spans="4:4" ht="35.1" customHeight="1" x14ac:dyDescent="0.25">
      <c r="D256" s="34"/>
    </row>
    <row r="257" spans="4:4" ht="35.1" customHeight="1" x14ac:dyDescent="0.25">
      <c r="D257" s="34"/>
    </row>
    <row r="258" spans="4:4" ht="35.1" customHeight="1" x14ac:dyDescent="0.25">
      <c r="D258" s="34"/>
    </row>
    <row r="259" spans="4:4" ht="35.1" customHeight="1" x14ac:dyDescent="0.25">
      <c r="D259" s="34"/>
    </row>
    <row r="260" spans="4:4" ht="35.1" customHeight="1" x14ac:dyDescent="0.25">
      <c r="D260" s="34"/>
    </row>
    <row r="261" spans="4:4" ht="35.1" customHeight="1" x14ac:dyDescent="0.25">
      <c r="D261" s="34"/>
    </row>
    <row r="262" spans="4:4" ht="35.1" customHeight="1" x14ac:dyDescent="0.25">
      <c r="D262" s="34"/>
    </row>
    <row r="263" spans="4:4" ht="35.1" customHeight="1" x14ac:dyDescent="0.25">
      <c r="D263" s="34"/>
    </row>
    <row r="264" spans="4:4" ht="35.1" customHeight="1" x14ac:dyDescent="0.25">
      <c r="D264" s="34"/>
    </row>
    <row r="265" spans="4:4" ht="35.1" customHeight="1" x14ac:dyDescent="0.25">
      <c r="D265" s="34"/>
    </row>
    <row r="266" spans="4:4" ht="35.1" customHeight="1" x14ac:dyDescent="0.25">
      <c r="D266" s="34"/>
    </row>
    <row r="267" spans="4:4" ht="35.1" customHeight="1" x14ac:dyDescent="0.25">
      <c r="D267" s="34"/>
    </row>
    <row r="268" spans="4:4" ht="35.1" customHeight="1" x14ac:dyDescent="0.25">
      <c r="D268" s="34"/>
    </row>
    <row r="269" spans="4:4" ht="35.1" customHeight="1" x14ac:dyDescent="0.25">
      <c r="D269" s="34"/>
    </row>
    <row r="270" spans="4:4" ht="35.1" customHeight="1" x14ac:dyDescent="0.25">
      <c r="D270" s="34"/>
    </row>
    <row r="271" spans="4:4" ht="35.1" customHeight="1" x14ac:dyDescent="0.25">
      <c r="D271" s="34"/>
    </row>
    <row r="272" spans="4:4" ht="35.1" customHeight="1" x14ac:dyDescent="0.25">
      <c r="D272" s="34"/>
    </row>
    <row r="273" spans="4:4" ht="35.1" customHeight="1" x14ac:dyDescent="0.25">
      <c r="D273" s="34"/>
    </row>
    <row r="274" spans="4:4" ht="35.1" customHeight="1" x14ac:dyDescent="0.25">
      <c r="D274" s="34"/>
    </row>
    <row r="275" spans="4:4" ht="35.1" customHeight="1" x14ac:dyDescent="0.25">
      <c r="D275" s="34"/>
    </row>
    <row r="276" spans="4:4" ht="35.1" customHeight="1" x14ac:dyDescent="0.25">
      <c r="D276" s="34"/>
    </row>
    <row r="277" spans="4:4" ht="35.1" customHeight="1" x14ac:dyDescent="0.25">
      <c r="D277" s="34"/>
    </row>
    <row r="278" spans="4:4" ht="35.1" customHeight="1" x14ac:dyDescent="0.25">
      <c r="D278" s="34"/>
    </row>
    <row r="279" spans="4:4" ht="35.1" customHeight="1" x14ac:dyDescent="0.25">
      <c r="D279" s="34"/>
    </row>
    <row r="280" spans="4:4" ht="35.1" customHeight="1" x14ac:dyDescent="0.25">
      <c r="D280" s="34"/>
    </row>
    <row r="281" spans="4:4" ht="35.1" customHeight="1" x14ac:dyDescent="0.25">
      <c r="D281" s="34"/>
    </row>
    <row r="282" spans="4:4" ht="35.1" customHeight="1" x14ac:dyDescent="0.25">
      <c r="D282" s="34"/>
    </row>
    <row r="283" spans="4:4" ht="35.1" customHeight="1" x14ac:dyDescent="0.25">
      <c r="D283" s="34"/>
    </row>
    <row r="284" spans="4:4" ht="35.1" customHeight="1" x14ac:dyDescent="0.25">
      <c r="D284" s="34"/>
    </row>
    <row r="285" spans="4:4" ht="35.1" customHeight="1" x14ac:dyDescent="0.25">
      <c r="D285" s="34"/>
    </row>
    <row r="286" spans="4:4" ht="35.1" customHeight="1" x14ac:dyDescent="0.25">
      <c r="D286" s="34"/>
    </row>
    <row r="287" spans="4:4" ht="35.1" customHeight="1" x14ac:dyDescent="0.25">
      <c r="D287" s="34"/>
    </row>
    <row r="288" spans="4:4" ht="35.1" customHeight="1" x14ac:dyDescent="0.25">
      <c r="D288" s="34"/>
    </row>
    <row r="289" spans="4:4" ht="35.1" customHeight="1" x14ac:dyDescent="0.25">
      <c r="D289" s="34"/>
    </row>
    <row r="290" spans="4:4" ht="35.1" customHeight="1" x14ac:dyDescent="0.25">
      <c r="D290" s="34"/>
    </row>
    <row r="291" spans="4:4" ht="35.1" customHeight="1" x14ac:dyDescent="0.25">
      <c r="D291" s="34"/>
    </row>
    <row r="292" spans="4:4" ht="35.1" customHeight="1" x14ac:dyDescent="0.25">
      <c r="D292" s="34"/>
    </row>
    <row r="293" spans="4:4" ht="35.1" customHeight="1" x14ac:dyDescent="0.25">
      <c r="D293" s="34"/>
    </row>
    <row r="294" spans="4:4" ht="35.1" customHeight="1" x14ac:dyDescent="0.25">
      <c r="D294" s="34"/>
    </row>
    <row r="295" spans="4:4" ht="35.1" customHeight="1" x14ac:dyDescent="0.25">
      <c r="D295" s="34"/>
    </row>
    <row r="296" spans="4:4" ht="35.1" customHeight="1" x14ac:dyDescent="0.25">
      <c r="D296" s="34"/>
    </row>
    <row r="297" spans="4:4" ht="35.1" customHeight="1" x14ac:dyDescent="0.25">
      <c r="D297" s="34"/>
    </row>
    <row r="298" spans="4:4" ht="35.1" customHeight="1" x14ac:dyDescent="0.25">
      <c r="D298" s="34"/>
    </row>
    <row r="299" spans="4:4" ht="35.1" customHeight="1" x14ac:dyDescent="0.25">
      <c r="D299" s="34"/>
    </row>
    <row r="300" spans="4:4" ht="35.1" customHeight="1" x14ac:dyDescent="0.25">
      <c r="D300" s="34"/>
    </row>
    <row r="301" spans="4:4" ht="35.1" customHeight="1" x14ac:dyDescent="0.25">
      <c r="D301" s="34"/>
    </row>
    <row r="302" spans="4:4" ht="35.1" customHeight="1" x14ac:dyDescent="0.25">
      <c r="D302" s="34"/>
    </row>
    <row r="303" spans="4:4" ht="35.1" customHeight="1" x14ac:dyDescent="0.25">
      <c r="D303" s="34"/>
    </row>
    <row r="304" spans="4:4" ht="35.1" customHeight="1" x14ac:dyDescent="0.25">
      <c r="D304" s="34"/>
    </row>
    <row r="305" spans="4:4" ht="35.1" customHeight="1" x14ac:dyDescent="0.25">
      <c r="D305" s="34"/>
    </row>
    <row r="306" spans="4:4" ht="35.1" customHeight="1" x14ac:dyDescent="0.25">
      <c r="D306" s="34"/>
    </row>
    <row r="307" spans="4:4" ht="35.1" customHeight="1" x14ac:dyDescent="0.25">
      <c r="D307" s="34"/>
    </row>
    <row r="308" spans="4:4" ht="35.1" customHeight="1" x14ac:dyDescent="0.25">
      <c r="D308" s="34"/>
    </row>
    <row r="309" spans="4:4" ht="35.1" customHeight="1" x14ac:dyDescent="0.25">
      <c r="D309" s="34"/>
    </row>
    <row r="310" spans="4:4" ht="35.1" customHeight="1" x14ac:dyDescent="0.25">
      <c r="D310" s="34"/>
    </row>
    <row r="311" spans="4:4" ht="35.1" customHeight="1" x14ac:dyDescent="0.25">
      <c r="D311" s="34"/>
    </row>
    <row r="312" spans="4:4" ht="35.1" customHeight="1" x14ac:dyDescent="0.25">
      <c r="D312" s="34"/>
    </row>
    <row r="313" spans="4:4" ht="35.1" customHeight="1" x14ac:dyDescent="0.25">
      <c r="D313" s="34"/>
    </row>
    <row r="314" spans="4:4" ht="35.1" customHeight="1" x14ac:dyDescent="0.25">
      <c r="D314" s="34"/>
    </row>
    <row r="315" spans="4:4" ht="35.1" customHeight="1" x14ac:dyDescent="0.25">
      <c r="D315" s="34"/>
    </row>
    <row r="316" spans="4:4" ht="35.1" customHeight="1" x14ac:dyDescent="0.25">
      <c r="D316" s="34"/>
    </row>
    <row r="317" spans="4:4" ht="35.1" customHeight="1" x14ac:dyDescent="0.25">
      <c r="D317" s="34"/>
    </row>
    <row r="318" spans="4:4" ht="35.1" customHeight="1" x14ac:dyDescent="0.25">
      <c r="D318" s="34"/>
    </row>
    <row r="319" spans="4:4" ht="35.1" customHeight="1" x14ac:dyDescent="0.25">
      <c r="D319" s="34"/>
    </row>
    <row r="320" spans="4:4" ht="35.1" customHeight="1" x14ac:dyDescent="0.25">
      <c r="D320" s="34"/>
    </row>
    <row r="321" spans="4:4" ht="35.1" customHeight="1" x14ac:dyDescent="0.25">
      <c r="D321" s="34"/>
    </row>
    <row r="322" spans="4:4" ht="35.1" customHeight="1" x14ac:dyDescent="0.25">
      <c r="D322" s="34"/>
    </row>
    <row r="323" spans="4:4" ht="35.1" customHeight="1" x14ac:dyDescent="0.25">
      <c r="D323" s="34"/>
    </row>
    <row r="324" spans="4:4" ht="35.1" customHeight="1" x14ac:dyDescent="0.25">
      <c r="D324" s="34"/>
    </row>
    <row r="325" spans="4:4" ht="35.1" customHeight="1" x14ac:dyDescent="0.25">
      <c r="D325" s="34"/>
    </row>
    <row r="326" spans="4:4" ht="35.1" customHeight="1" x14ac:dyDescent="0.25">
      <c r="D326" s="34"/>
    </row>
    <row r="327" spans="4:4" ht="35.1" customHeight="1" x14ac:dyDescent="0.25">
      <c r="D327" s="34"/>
    </row>
    <row r="328" spans="4:4" ht="35.1" customHeight="1" x14ac:dyDescent="0.25">
      <c r="D328" s="34"/>
    </row>
    <row r="329" spans="4:4" ht="35.1" customHeight="1" x14ac:dyDescent="0.25">
      <c r="D329" s="34"/>
    </row>
    <row r="330" spans="4:4" ht="35.1" customHeight="1" x14ac:dyDescent="0.25">
      <c r="D330" s="34"/>
    </row>
    <row r="331" spans="4:4" ht="35.1" customHeight="1" x14ac:dyDescent="0.25">
      <c r="D331" s="34"/>
    </row>
    <row r="332" spans="4:4" ht="35.1" customHeight="1" x14ac:dyDescent="0.25">
      <c r="D332" s="34"/>
    </row>
    <row r="333" spans="4:4" ht="35.1" customHeight="1" x14ac:dyDescent="0.25">
      <c r="D333" s="34"/>
    </row>
    <row r="334" spans="4:4" ht="35.1" customHeight="1" x14ac:dyDescent="0.25">
      <c r="D334" s="34"/>
    </row>
    <row r="335" spans="4:4" ht="35.1" customHeight="1" x14ac:dyDescent="0.25">
      <c r="D335" s="34"/>
    </row>
    <row r="336" spans="4:4" ht="35.1" customHeight="1" x14ac:dyDescent="0.25">
      <c r="D336" s="34"/>
    </row>
    <row r="337" spans="4:4" ht="35.1" customHeight="1" x14ac:dyDescent="0.25">
      <c r="D337" s="34"/>
    </row>
    <row r="338" spans="4:4" ht="35.1" customHeight="1" x14ac:dyDescent="0.25">
      <c r="D338" s="34"/>
    </row>
    <row r="339" spans="4:4" ht="35.1" customHeight="1" x14ac:dyDescent="0.25">
      <c r="D339" s="34"/>
    </row>
    <row r="340" spans="4:4" ht="35.1" customHeight="1" x14ac:dyDescent="0.25">
      <c r="D340" s="34"/>
    </row>
    <row r="341" spans="4:4" ht="35.1" customHeight="1" x14ac:dyDescent="0.25">
      <c r="D341" s="34"/>
    </row>
    <row r="342" spans="4:4" ht="35.1" customHeight="1" x14ac:dyDescent="0.25">
      <c r="D342" s="34"/>
    </row>
    <row r="343" spans="4:4" ht="35.1" customHeight="1" x14ac:dyDescent="0.25">
      <c r="D343" s="34"/>
    </row>
    <row r="344" spans="4:4" ht="35.1" customHeight="1" x14ac:dyDescent="0.25">
      <c r="D344" s="34"/>
    </row>
    <row r="345" spans="4:4" ht="35.1" customHeight="1" x14ac:dyDescent="0.25">
      <c r="D345" s="34"/>
    </row>
    <row r="346" spans="4:4" ht="35.1" customHeight="1" x14ac:dyDescent="0.25">
      <c r="D346" s="34"/>
    </row>
    <row r="347" spans="4:4" ht="35.1" customHeight="1" x14ac:dyDescent="0.25">
      <c r="D347" s="34"/>
    </row>
    <row r="348" spans="4:4" ht="35.1" customHeight="1" x14ac:dyDescent="0.25">
      <c r="D348" s="34"/>
    </row>
    <row r="349" spans="4:4" ht="35.1" customHeight="1" x14ac:dyDescent="0.25">
      <c r="D349" s="34"/>
    </row>
    <row r="350" spans="4:4" ht="35.1" customHeight="1" x14ac:dyDescent="0.25">
      <c r="D350" s="34"/>
    </row>
    <row r="351" spans="4:4" ht="35.1" customHeight="1" x14ac:dyDescent="0.25">
      <c r="D351" s="34"/>
    </row>
    <row r="352" spans="4:4" ht="35.1" customHeight="1" x14ac:dyDescent="0.25">
      <c r="D352" s="34"/>
    </row>
    <row r="353" spans="4:4" ht="35.1" customHeight="1" x14ac:dyDescent="0.25">
      <c r="D353" s="34"/>
    </row>
    <row r="354" spans="4:4" ht="35.1" customHeight="1" x14ac:dyDescent="0.25">
      <c r="D354" s="34"/>
    </row>
    <row r="355" spans="4:4" ht="35.1" customHeight="1" x14ac:dyDescent="0.25">
      <c r="D355" s="34"/>
    </row>
    <row r="356" spans="4:4" ht="35.1" customHeight="1" x14ac:dyDescent="0.25">
      <c r="D356" s="34"/>
    </row>
    <row r="357" spans="4:4" ht="35.1" customHeight="1" x14ac:dyDescent="0.25">
      <c r="D357" s="34"/>
    </row>
    <row r="358" spans="4:4" ht="35.1" customHeight="1" x14ac:dyDescent="0.25">
      <c r="D358" s="34"/>
    </row>
    <row r="359" spans="4:4" ht="35.1" customHeight="1" x14ac:dyDescent="0.25">
      <c r="D359" s="34"/>
    </row>
    <row r="360" spans="4:4" ht="35.1" customHeight="1" x14ac:dyDescent="0.25">
      <c r="D360" s="34"/>
    </row>
    <row r="361" spans="4:4" ht="35.1" customHeight="1" x14ac:dyDescent="0.25">
      <c r="D361" s="34"/>
    </row>
    <row r="362" spans="4:4" ht="35.1" customHeight="1" x14ac:dyDescent="0.25">
      <c r="D362" s="34"/>
    </row>
    <row r="363" spans="4:4" ht="35.1" customHeight="1" x14ac:dyDescent="0.25">
      <c r="D363" s="34"/>
    </row>
    <row r="364" spans="4:4" ht="35.1" customHeight="1" x14ac:dyDescent="0.25">
      <c r="D364" s="34"/>
    </row>
    <row r="365" spans="4:4" ht="35.1" customHeight="1" x14ac:dyDescent="0.25">
      <c r="D365" s="34"/>
    </row>
    <row r="366" spans="4:4" ht="35.1" customHeight="1" x14ac:dyDescent="0.25">
      <c r="D366" s="34"/>
    </row>
    <row r="367" spans="4:4" ht="35.1" customHeight="1" x14ac:dyDescent="0.25">
      <c r="D367" s="34"/>
    </row>
    <row r="368" spans="4:4" ht="35.1" customHeight="1" x14ac:dyDescent="0.25">
      <c r="D368" s="34"/>
    </row>
    <row r="369" spans="4:4" ht="35.1" customHeight="1" x14ac:dyDescent="0.25">
      <c r="D369" s="34"/>
    </row>
    <row r="370" spans="4:4" ht="35.1" customHeight="1" x14ac:dyDescent="0.25">
      <c r="D370" s="34"/>
    </row>
    <row r="371" spans="4:4" ht="35.1" customHeight="1" x14ac:dyDescent="0.25">
      <c r="D371" s="34"/>
    </row>
    <row r="372" spans="4:4" ht="35.1" customHeight="1" x14ac:dyDescent="0.25">
      <c r="D372" s="34"/>
    </row>
    <row r="373" spans="4:4" ht="35.1" customHeight="1" x14ac:dyDescent="0.25">
      <c r="D373" s="34"/>
    </row>
    <row r="374" spans="4:4" ht="35.1" customHeight="1" x14ac:dyDescent="0.25">
      <c r="D374" s="34"/>
    </row>
    <row r="375" spans="4:4" ht="35.1" customHeight="1" x14ac:dyDescent="0.25">
      <c r="D375" s="34"/>
    </row>
    <row r="376" spans="4:4" ht="35.1" customHeight="1" x14ac:dyDescent="0.25">
      <c r="D376" s="34"/>
    </row>
    <row r="377" spans="4:4" ht="35.1" customHeight="1" x14ac:dyDescent="0.25">
      <c r="D377" s="34"/>
    </row>
    <row r="378" spans="4:4" ht="35.1" customHeight="1" x14ac:dyDescent="0.25">
      <c r="D378" s="34"/>
    </row>
    <row r="379" spans="4:4" ht="35.1" customHeight="1" x14ac:dyDescent="0.25">
      <c r="D379" s="34"/>
    </row>
    <row r="380" spans="4:4" ht="35.1" customHeight="1" x14ac:dyDescent="0.25">
      <c r="D380" s="34"/>
    </row>
    <row r="381" spans="4:4" ht="35.1" customHeight="1" x14ac:dyDescent="0.25">
      <c r="D381" s="34"/>
    </row>
    <row r="382" spans="4:4" ht="35.1" customHeight="1" x14ac:dyDescent="0.25">
      <c r="D382" s="34"/>
    </row>
    <row r="383" spans="4:4" ht="35.1" customHeight="1" x14ac:dyDescent="0.25">
      <c r="D383" s="34"/>
    </row>
    <row r="384" spans="4:4" ht="35.1" customHeight="1" x14ac:dyDescent="0.25">
      <c r="D384" s="34"/>
    </row>
    <row r="385" spans="4:4" ht="35.1" customHeight="1" x14ac:dyDescent="0.25">
      <c r="D385" s="34"/>
    </row>
    <row r="386" spans="4:4" ht="35.1" customHeight="1" x14ac:dyDescent="0.25">
      <c r="D386" s="34"/>
    </row>
    <row r="387" spans="4:4" ht="35.1" customHeight="1" x14ac:dyDescent="0.25">
      <c r="D387" s="34"/>
    </row>
    <row r="388" spans="4:4" ht="35.1" customHeight="1" x14ac:dyDescent="0.25">
      <c r="D388" s="34"/>
    </row>
    <row r="389" spans="4:4" ht="35.1" customHeight="1" x14ac:dyDescent="0.25">
      <c r="D389" s="34"/>
    </row>
    <row r="390" spans="4:4" ht="35.1" customHeight="1" x14ac:dyDescent="0.25">
      <c r="D390" s="34"/>
    </row>
    <row r="391" spans="4:4" ht="35.1" customHeight="1" x14ac:dyDescent="0.25">
      <c r="D391" s="34"/>
    </row>
    <row r="392" spans="4:4" ht="35.1" customHeight="1" x14ac:dyDescent="0.25">
      <c r="D392" s="34"/>
    </row>
    <row r="393" spans="4:4" ht="35.1" customHeight="1" x14ac:dyDescent="0.25">
      <c r="D393" s="34"/>
    </row>
    <row r="394" spans="4:4" ht="35.1" customHeight="1" x14ac:dyDescent="0.25">
      <c r="D394" s="34"/>
    </row>
    <row r="395" spans="4:4" ht="35.1" customHeight="1" x14ac:dyDescent="0.25">
      <c r="D395" s="34"/>
    </row>
    <row r="396" spans="4:4" ht="35.1" customHeight="1" x14ac:dyDescent="0.25">
      <c r="D396" s="34"/>
    </row>
    <row r="397" spans="4:4" ht="35.1" customHeight="1" x14ac:dyDescent="0.25">
      <c r="D397" s="34"/>
    </row>
    <row r="398" spans="4:4" ht="35.1" customHeight="1" x14ac:dyDescent="0.25">
      <c r="D398" s="34"/>
    </row>
    <row r="399" spans="4:4" ht="35.1" customHeight="1" x14ac:dyDescent="0.25">
      <c r="D399" s="34"/>
    </row>
    <row r="400" spans="4:4" ht="35.1" customHeight="1" x14ac:dyDescent="0.25">
      <c r="D400" s="34"/>
    </row>
    <row r="401" spans="4:4" ht="35.1" customHeight="1" x14ac:dyDescent="0.25">
      <c r="D401" s="34"/>
    </row>
    <row r="402" spans="4:4" ht="35.1" customHeight="1" x14ac:dyDescent="0.25">
      <c r="D402" s="34"/>
    </row>
    <row r="403" spans="4:4" ht="35.1" customHeight="1" x14ac:dyDescent="0.25">
      <c r="D403" s="34"/>
    </row>
    <row r="404" spans="4:4" ht="35.1" customHeight="1" x14ac:dyDescent="0.25">
      <c r="D404" s="34"/>
    </row>
    <row r="405" spans="4:4" ht="35.1" customHeight="1" x14ac:dyDescent="0.25">
      <c r="D405" s="34"/>
    </row>
    <row r="406" spans="4:4" ht="35.1" customHeight="1" x14ac:dyDescent="0.25">
      <c r="D406" s="34"/>
    </row>
    <row r="407" spans="4:4" ht="35.1" customHeight="1" x14ac:dyDescent="0.25">
      <c r="D407" s="34"/>
    </row>
    <row r="408" spans="4:4" ht="35.1" customHeight="1" x14ac:dyDescent="0.25">
      <c r="D408" s="34"/>
    </row>
    <row r="409" spans="4:4" ht="35.1" customHeight="1" x14ac:dyDescent="0.25">
      <c r="D409" s="34"/>
    </row>
    <row r="410" spans="4:4" ht="35.1" customHeight="1" x14ac:dyDescent="0.25">
      <c r="D410" s="34"/>
    </row>
    <row r="411" spans="4:4" ht="35.1" customHeight="1" x14ac:dyDescent="0.25">
      <c r="D411" s="34"/>
    </row>
    <row r="412" spans="4:4" ht="35.1" customHeight="1" x14ac:dyDescent="0.25">
      <c r="D412" s="34"/>
    </row>
    <row r="413" spans="4:4" ht="35.1" customHeight="1" x14ac:dyDescent="0.25">
      <c r="D413" s="34"/>
    </row>
    <row r="414" spans="4:4" ht="35.1" customHeight="1" x14ac:dyDescent="0.25">
      <c r="D414" s="34"/>
    </row>
    <row r="415" spans="4:4" ht="35.1" customHeight="1" x14ac:dyDescent="0.25">
      <c r="D415" s="34"/>
    </row>
    <row r="416" spans="4:4" ht="35.1" customHeight="1" x14ac:dyDescent="0.25">
      <c r="D416" s="34"/>
    </row>
    <row r="417" spans="4:4" ht="35.1" customHeight="1" x14ac:dyDescent="0.25">
      <c r="D417" s="34"/>
    </row>
    <row r="418" spans="4:4" ht="35.1" customHeight="1" x14ac:dyDescent="0.25">
      <c r="D418" s="34"/>
    </row>
    <row r="419" spans="4:4" ht="35.1" customHeight="1" x14ac:dyDescent="0.25">
      <c r="D419" s="34"/>
    </row>
    <row r="420" spans="4:4" ht="35.1" customHeight="1" x14ac:dyDescent="0.25">
      <c r="D420" s="34"/>
    </row>
    <row r="421" spans="4:4" ht="35.1" customHeight="1" x14ac:dyDescent="0.25">
      <c r="D421" s="34"/>
    </row>
    <row r="422" spans="4:4" ht="35.1" customHeight="1" x14ac:dyDescent="0.25">
      <c r="D422" s="34"/>
    </row>
    <row r="423" spans="4:4" ht="35.1" customHeight="1" x14ac:dyDescent="0.25">
      <c r="D423" s="34"/>
    </row>
    <row r="424" spans="4:4" ht="35.1" customHeight="1" x14ac:dyDescent="0.25">
      <c r="D424" s="34"/>
    </row>
    <row r="425" spans="4:4" ht="35.1" customHeight="1" x14ac:dyDescent="0.25">
      <c r="D425" s="34"/>
    </row>
    <row r="426" spans="4:4" ht="35.1" customHeight="1" x14ac:dyDescent="0.25">
      <c r="D426" s="34"/>
    </row>
    <row r="427" spans="4:4" ht="35.1" customHeight="1" x14ac:dyDescent="0.25">
      <c r="D427" s="34"/>
    </row>
    <row r="428" spans="4:4" ht="35.1" customHeight="1" x14ac:dyDescent="0.25">
      <c r="D428" s="34"/>
    </row>
    <row r="429" spans="4:4" ht="35.1" customHeight="1" x14ac:dyDescent="0.25">
      <c r="D429" s="34"/>
    </row>
    <row r="430" spans="4:4" ht="35.1" customHeight="1" x14ac:dyDescent="0.25">
      <c r="D430" s="34"/>
    </row>
    <row r="431" spans="4:4" ht="35.1" customHeight="1" x14ac:dyDescent="0.25">
      <c r="D431" s="34"/>
    </row>
    <row r="432" spans="4:4" ht="35.1" customHeight="1" x14ac:dyDescent="0.25">
      <c r="D432" s="34"/>
    </row>
    <row r="433" spans="4:4" ht="35.1" customHeight="1" x14ac:dyDescent="0.25">
      <c r="D433" s="34"/>
    </row>
    <row r="434" spans="4:4" ht="35.1" customHeight="1" x14ac:dyDescent="0.25">
      <c r="D434" s="34"/>
    </row>
    <row r="435" spans="4:4" ht="35.1" customHeight="1" x14ac:dyDescent="0.25">
      <c r="D435" s="34"/>
    </row>
    <row r="436" spans="4:4" ht="35.1" customHeight="1" x14ac:dyDescent="0.25">
      <c r="D436" s="34"/>
    </row>
    <row r="437" spans="4:4" ht="35.1" customHeight="1" x14ac:dyDescent="0.25">
      <c r="D437" s="34"/>
    </row>
    <row r="438" spans="4:4" ht="35.1" customHeight="1" x14ac:dyDescent="0.25">
      <c r="D438" s="34"/>
    </row>
    <row r="439" spans="4:4" ht="35.1" customHeight="1" x14ac:dyDescent="0.25">
      <c r="D439" s="34"/>
    </row>
    <row r="440" spans="4:4" ht="35.1" customHeight="1" x14ac:dyDescent="0.25">
      <c r="D440" s="34"/>
    </row>
    <row r="441" spans="4:4" ht="35.1" customHeight="1" x14ac:dyDescent="0.25">
      <c r="D441" s="34"/>
    </row>
    <row r="442" spans="4:4" ht="35.1" customHeight="1" x14ac:dyDescent="0.25">
      <c r="D442" s="34"/>
    </row>
    <row r="443" spans="4:4" ht="35.1" customHeight="1" x14ac:dyDescent="0.25">
      <c r="D443" s="34"/>
    </row>
    <row r="444" spans="4:4" ht="35.1" customHeight="1" x14ac:dyDescent="0.25">
      <c r="D444" s="34"/>
    </row>
    <row r="445" spans="4:4" ht="35.1" customHeight="1" x14ac:dyDescent="0.25">
      <c r="D445" s="34"/>
    </row>
    <row r="446" spans="4:4" ht="35.1" customHeight="1" x14ac:dyDescent="0.25">
      <c r="D446" s="34"/>
    </row>
    <row r="447" spans="4:4" ht="35.1" customHeight="1" x14ac:dyDescent="0.25">
      <c r="D447" s="34"/>
    </row>
    <row r="448" spans="4:4" ht="35.1" customHeight="1" x14ac:dyDescent="0.25">
      <c r="D448" s="34"/>
    </row>
    <row r="449" spans="4:4" ht="35.1" customHeight="1" x14ac:dyDescent="0.25">
      <c r="D449" s="34"/>
    </row>
    <row r="450" spans="4:4" ht="35.1" customHeight="1" x14ac:dyDescent="0.25">
      <c r="D450" s="34"/>
    </row>
    <row r="451" spans="4:4" ht="35.1" customHeight="1" x14ac:dyDescent="0.25">
      <c r="D451" s="34"/>
    </row>
    <row r="452" spans="4:4" ht="35.1" customHeight="1" x14ac:dyDescent="0.25">
      <c r="D452" s="34"/>
    </row>
    <row r="453" spans="4:4" ht="35.1" customHeight="1" x14ac:dyDescent="0.25">
      <c r="D453" s="34"/>
    </row>
    <row r="454" spans="4:4" ht="35.1" customHeight="1" x14ac:dyDescent="0.25">
      <c r="D454" s="34"/>
    </row>
    <row r="455" spans="4:4" ht="35.1" customHeight="1" x14ac:dyDescent="0.25">
      <c r="D455" s="34"/>
    </row>
    <row r="456" spans="4:4" ht="35.1" customHeight="1" x14ac:dyDescent="0.25">
      <c r="D456" s="34"/>
    </row>
    <row r="457" spans="4:4" ht="35.1" customHeight="1" x14ac:dyDescent="0.25">
      <c r="D457" s="34"/>
    </row>
    <row r="458" spans="4:4" ht="35.1" customHeight="1" x14ac:dyDescent="0.25">
      <c r="D458" s="34"/>
    </row>
    <row r="459" spans="4:4" ht="35.1" customHeight="1" x14ac:dyDescent="0.25">
      <c r="D459" s="34"/>
    </row>
    <row r="460" spans="4:4" ht="35.1" customHeight="1" x14ac:dyDescent="0.25">
      <c r="D460" s="34"/>
    </row>
    <row r="461" spans="4:4" ht="35.1" customHeight="1" x14ac:dyDescent="0.25">
      <c r="D461" s="34"/>
    </row>
    <row r="462" spans="4:4" ht="35.1" customHeight="1" x14ac:dyDescent="0.25">
      <c r="D462" s="34"/>
    </row>
    <row r="463" spans="4:4" ht="35.1" customHeight="1" x14ac:dyDescent="0.25">
      <c r="D463" s="34"/>
    </row>
    <row r="464" spans="4:4" ht="35.1" customHeight="1" x14ac:dyDescent="0.25">
      <c r="D464" s="34"/>
    </row>
    <row r="465" spans="4:4" ht="35.1" customHeight="1" x14ac:dyDescent="0.25">
      <c r="D465" s="34"/>
    </row>
    <row r="466" spans="4:4" ht="35.1" customHeight="1" x14ac:dyDescent="0.25">
      <c r="D466" s="34"/>
    </row>
    <row r="467" spans="4:4" ht="35.1" customHeight="1" x14ac:dyDescent="0.25">
      <c r="D467" s="34"/>
    </row>
    <row r="468" spans="4:4" ht="35.1" customHeight="1" x14ac:dyDescent="0.25">
      <c r="D468" s="34"/>
    </row>
    <row r="469" spans="4:4" ht="35.1" customHeight="1" x14ac:dyDescent="0.25">
      <c r="D469" s="34"/>
    </row>
    <row r="470" spans="4:4" ht="35.1" customHeight="1" x14ac:dyDescent="0.25">
      <c r="D470" s="34"/>
    </row>
    <row r="471" spans="4:4" ht="35.1" customHeight="1" x14ac:dyDescent="0.25">
      <c r="D471" s="34"/>
    </row>
    <row r="472" spans="4:4" ht="35.1" customHeight="1" x14ac:dyDescent="0.25">
      <c r="D472" s="34"/>
    </row>
    <row r="473" spans="4:4" ht="35.1" customHeight="1" x14ac:dyDescent="0.25">
      <c r="D473" s="34"/>
    </row>
    <row r="474" spans="4:4" ht="35.1" customHeight="1" x14ac:dyDescent="0.25">
      <c r="D474" s="34"/>
    </row>
    <row r="475" spans="4:4" ht="35.1" customHeight="1" x14ac:dyDescent="0.25">
      <c r="D475" s="34"/>
    </row>
    <row r="476" spans="4:4" ht="35.1" customHeight="1" x14ac:dyDescent="0.25">
      <c r="D476" s="34"/>
    </row>
    <row r="477" spans="4:4" ht="35.1" customHeight="1" x14ac:dyDescent="0.25">
      <c r="D477" s="34"/>
    </row>
    <row r="478" spans="4:4" ht="35.1" customHeight="1" x14ac:dyDescent="0.25">
      <c r="D478" s="34"/>
    </row>
    <row r="479" spans="4:4" ht="35.1" customHeight="1" x14ac:dyDescent="0.25">
      <c r="D479" s="34"/>
    </row>
    <row r="480" spans="4:4" ht="35.1" customHeight="1" x14ac:dyDescent="0.25">
      <c r="D480" s="34"/>
    </row>
    <row r="481" spans="4:4" ht="35.1" customHeight="1" x14ac:dyDescent="0.25">
      <c r="D481" s="34"/>
    </row>
    <row r="482" spans="4:4" ht="35.1" customHeight="1" x14ac:dyDescent="0.25">
      <c r="D482" s="34"/>
    </row>
    <row r="483" spans="4:4" ht="35.1" customHeight="1" x14ac:dyDescent="0.25">
      <c r="D483" s="34"/>
    </row>
    <row r="484" spans="4:4" ht="35.1" customHeight="1" x14ac:dyDescent="0.25">
      <c r="D484" s="34"/>
    </row>
    <row r="485" spans="4:4" ht="35.1" customHeight="1" x14ac:dyDescent="0.25">
      <c r="D485" s="34"/>
    </row>
    <row r="486" spans="4:4" ht="35.1" customHeight="1" x14ac:dyDescent="0.25">
      <c r="D486" s="34"/>
    </row>
    <row r="487" spans="4:4" ht="35.1" customHeight="1" x14ac:dyDescent="0.25">
      <c r="D487" s="34"/>
    </row>
    <row r="488" spans="4:4" ht="35.1" customHeight="1" x14ac:dyDescent="0.25">
      <c r="D488" s="34"/>
    </row>
    <row r="489" spans="4:4" ht="35.1" customHeight="1" x14ac:dyDescent="0.25">
      <c r="D489" s="34"/>
    </row>
    <row r="490" spans="4:4" ht="35.1" customHeight="1" x14ac:dyDescent="0.25">
      <c r="D490" s="34"/>
    </row>
    <row r="491" spans="4:4" ht="35.1" customHeight="1" x14ac:dyDescent="0.25">
      <c r="D491" s="34"/>
    </row>
    <row r="492" spans="4:4" ht="35.1" customHeight="1" x14ac:dyDescent="0.25">
      <c r="D492" s="34"/>
    </row>
    <row r="493" spans="4:4" ht="35.1" customHeight="1" x14ac:dyDescent="0.25">
      <c r="D493" s="34"/>
    </row>
    <row r="494" spans="4:4" ht="35.1" customHeight="1" x14ac:dyDescent="0.25">
      <c r="D494" s="34"/>
    </row>
    <row r="495" spans="4:4" ht="35.1" customHeight="1" x14ac:dyDescent="0.25">
      <c r="D495" s="34"/>
    </row>
    <row r="496" spans="4:4" ht="35.1" customHeight="1" x14ac:dyDescent="0.25">
      <c r="D496" s="34"/>
    </row>
    <row r="497" spans="4:4" ht="35.1" customHeight="1" x14ac:dyDescent="0.25">
      <c r="D497" s="34"/>
    </row>
    <row r="498" spans="4:4" ht="35.1" customHeight="1" x14ac:dyDescent="0.25">
      <c r="D498" s="34"/>
    </row>
    <row r="499" spans="4:4" ht="35.1" customHeight="1" x14ac:dyDescent="0.25">
      <c r="D499" s="34"/>
    </row>
    <row r="500" spans="4:4" ht="35.1" customHeight="1" x14ac:dyDescent="0.25">
      <c r="D500" s="34"/>
    </row>
    <row r="501" spans="4:4" ht="35.1" customHeight="1" x14ac:dyDescent="0.25">
      <c r="D501" s="34"/>
    </row>
    <row r="502" spans="4:4" ht="35.1" customHeight="1" x14ac:dyDescent="0.25">
      <c r="D502" s="34"/>
    </row>
    <row r="503" spans="4:4" ht="35.1" customHeight="1" x14ac:dyDescent="0.25">
      <c r="D503" s="34"/>
    </row>
    <row r="504" spans="4:4" ht="35.1" customHeight="1" x14ac:dyDescent="0.25">
      <c r="D504" s="34"/>
    </row>
    <row r="505" spans="4:4" ht="35.1" customHeight="1" x14ac:dyDescent="0.25">
      <c r="D505" s="34"/>
    </row>
    <row r="506" spans="4:4" ht="35.1" customHeight="1" x14ac:dyDescent="0.25">
      <c r="D506" s="34"/>
    </row>
    <row r="507" spans="4:4" ht="35.1" customHeight="1" x14ac:dyDescent="0.25">
      <c r="D507" s="34"/>
    </row>
    <row r="508" spans="4:4" ht="35.1" customHeight="1" x14ac:dyDescent="0.25">
      <c r="D508" s="34"/>
    </row>
    <row r="509" spans="4:4" ht="35.1" customHeight="1" x14ac:dyDescent="0.25">
      <c r="D509" s="34"/>
    </row>
    <row r="510" spans="4:4" ht="35.1" customHeight="1" x14ac:dyDescent="0.25">
      <c r="D510" s="34"/>
    </row>
    <row r="511" spans="4:4" ht="35.1" customHeight="1" x14ac:dyDescent="0.25">
      <c r="D511" s="34"/>
    </row>
    <row r="512" spans="4:4" ht="35.1" customHeight="1" x14ac:dyDescent="0.25">
      <c r="D512" s="34"/>
    </row>
    <row r="513" spans="4:4" ht="35.1" customHeight="1" x14ac:dyDescent="0.25">
      <c r="D513" s="34"/>
    </row>
    <row r="514" spans="4:4" ht="35.1" customHeight="1" x14ac:dyDescent="0.25">
      <c r="D514" s="34"/>
    </row>
    <row r="515" spans="4:4" ht="35.1" customHeight="1" x14ac:dyDescent="0.25">
      <c r="D515" s="34"/>
    </row>
    <row r="516" spans="4:4" ht="35.1" customHeight="1" x14ac:dyDescent="0.25">
      <c r="D516" s="34"/>
    </row>
    <row r="517" spans="4:4" ht="35.1" customHeight="1" x14ac:dyDescent="0.25">
      <c r="D517" s="34"/>
    </row>
    <row r="518" spans="4:4" ht="35.1" customHeight="1" x14ac:dyDescent="0.25">
      <c r="D518" s="34"/>
    </row>
    <row r="519" spans="4:4" ht="35.1" customHeight="1" x14ac:dyDescent="0.25">
      <c r="D519" s="34"/>
    </row>
    <row r="520" spans="4:4" ht="35.1" customHeight="1" x14ac:dyDescent="0.25">
      <c r="D520" s="34"/>
    </row>
    <row r="521" spans="4:4" ht="35.1" customHeight="1" x14ac:dyDescent="0.25">
      <c r="D521" s="34"/>
    </row>
    <row r="522" spans="4:4" ht="35.1" customHeight="1" x14ac:dyDescent="0.25">
      <c r="D522" s="34"/>
    </row>
    <row r="523" spans="4:4" ht="35.1" customHeight="1" x14ac:dyDescent="0.25">
      <c r="D523" s="34"/>
    </row>
    <row r="524" spans="4:4" ht="35.1" customHeight="1" x14ac:dyDescent="0.25">
      <c r="D524" s="34"/>
    </row>
    <row r="525" spans="4:4" ht="35.1" customHeight="1" x14ac:dyDescent="0.25">
      <c r="D525" s="34"/>
    </row>
    <row r="526" spans="4:4" ht="35.1" customHeight="1" x14ac:dyDescent="0.25">
      <c r="D526" s="34"/>
    </row>
    <row r="527" spans="4:4" ht="35.1" customHeight="1" x14ac:dyDescent="0.25">
      <c r="D527" s="34"/>
    </row>
    <row r="528" spans="4:4" ht="35.1" customHeight="1" x14ac:dyDescent="0.25">
      <c r="D528" s="34"/>
    </row>
    <row r="529" spans="4:4" ht="35.1" customHeight="1" x14ac:dyDescent="0.25">
      <c r="D529" s="34"/>
    </row>
    <row r="530" spans="4:4" ht="35.1" customHeight="1" x14ac:dyDescent="0.25">
      <c r="D530" s="34"/>
    </row>
    <row r="531" spans="4:4" ht="35.1" customHeight="1" x14ac:dyDescent="0.25">
      <c r="D531" s="34"/>
    </row>
    <row r="532" spans="4:4" ht="35.1" customHeight="1" x14ac:dyDescent="0.25">
      <c r="D532" s="34"/>
    </row>
    <row r="533" spans="4:4" ht="35.1" customHeight="1" x14ac:dyDescent="0.25">
      <c r="D533" s="34"/>
    </row>
  </sheetData>
  <mergeCells count="7">
    <mergeCell ref="B1:J1"/>
    <mergeCell ref="B2:J2"/>
    <mergeCell ref="B4:B16"/>
    <mergeCell ref="D4:D15"/>
    <mergeCell ref="B17:I17"/>
    <mergeCell ref="D3:E3"/>
    <mergeCell ref="C4:C16"/>
  </mergeCells>
  <hyperlinks>
    <hyperlink ref="N2" location="cover!A1" display="cover!A1" xr:uid="{00000000-0004-0000-0C00-000000000000}"/>
  </hyperlinks>
  <pageMargins left="0.70866141732283472" right="1.26" top="0.74803149606299213" bottom="0.74803149606299213" header="0.32" footer="0.31496062992125984"/>
  <pageSetup paperSize="9" scale="33" orientation="portrait" r:id="rId1"/>
  <headerFooter>
    <oddFooter>&amp;L&amp;P&amp;Cتحليل اسعار بنود الاعمال مشروع فانتازيا&amp;R&amp;D</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3" tint="0.79998168889431442"/>
  </sheetPr>
  <dimension ref="A1:R669"/>
  <sheetViews>
    <sheetView rightToLeft="1" zoomScale="40" zoomScaleNormal="40" zoomScaleSheetLayoutView="50" workbookViewId="0">
      <pane ySplit="3" topLeftCell="A4" activePane="bottomLeft" state="frozen"/>
      <selection pane="bottomLeft" activeCell="I79" sqref="I79"/>
    </sheetView>
  </sheetViews>
  <sheetFormatPr defaultColWidth="9" defaultRowHeight="35.1" customHeight="1" x14ac:dyDescent="0.25"/>
  <cols>
    <col min="1" max="1" width="3.85546875" style="2" customWidth="1"/>
    <col min="2" max="2" width="7.28515625" style="37" customWidth="1"/>
    <col min="3" max="3" width="39" style="724" customWidth="1"/>
    <col min="4" max="4" width="17.140625" style="6" customWidth="1"/>
    <col min="5" max="5" width="42.7109375" style="2" customWidth="1"/>
    <col min="6" max="6" width="16.42578125" style="84" customWidth="1"/>
    <col min="7" max="7" width="16.42578125" style="7" customWidth="1"/>
    <col min="8" max="8" width="18.140625" style="8" customWidth="1"/>
    <col min="9" max="9" width="22.28515625" style="85" customWidth="1"/>
    <col min="10" max="10" width="26.28515625" style="3" bestFit="1" customWidth="1"/>
    <col min="11" max="11" width="9" style="2"/>
    <col min="12" max="12" width="22" style="2" customWidth="1"/>
    <col min="13" max="13" width="9" style="2"/>
    <col min="14" max="14" width="71.42578125" style="2" customWidth="1"/>
    <col min="15" max="17" width="9" style="2"/>
    <col min="18" max="18" width="64" style="2" customWidth="1"/>
    <col min="19" max="16384" width="9" style="2"/>
  </cols>
  <sheetData>
    <row r="1" spans="1:18" s="1" customFormat="1" ht="59.25" customHeight="1" thickBot="1" x14ac:dyDescent="0.3">
      <c r="B1" s="1142" t="str">
        <f>'خرسانة مسلحة'!B1:J1</f>
        <v>تحليل اسعار</v>
      </c>
      <c r="C1" s="1142"/>
      <c r="D1" s="1142"/>
      <c r="E1" s="1142"/>
      <c r="F1" s="1142"/>
      <c r="G1" s="1142"/>
      <c r="H1" s="1142"/>
      <c r="I1" s="1142"/>
      <c r="J1" s="1142"/>
    </row>
    <row r="2" spans="1:18" ht="43.5" customHeight="1" thickBot="1" x14ac:dyDescent="0.3">
      <c r="B2" s="1143" t="s">
        <v>334</v>
      </c>
      <c r="C2" s="1143"/>
      <c r="D2" s="1143"/>
      <c r="E2" s="1143"/>
      <c r="F2" s="1143"/>
      <c r="G2" s="1143"/>
      <c r="H2" s="1143"/>
      <c r="I2" s="1143"/>
      <c r="J2" s="1143"/>
      <c r="L2" s="380" t="s">
        <v>1171</v>
      </c>
    </row>
    <row r="3" spans="1:18" s="615" customFormat="1" ht="57" customHeight="1" thickTop="1" thickBot="1" x14ac:dyDescent="0.55000000000000004">
      <c r="A3" s="612"/>
      <c r="B3" s="631" t="s">
        <v>0</v>
      </c>
      <c r="C3" s="725" t="s">
        <v>1</v>
      </c>
      <c r="D3" s="1149" t="s">
        <v>2</v>
      </c>
      <c r="E3" s="1150"/>
      <c r="F3" s="632" t="s">
        <v>3</v>
      </c>
      <c r="G3" s="632" t="s">
        <v>4</v>
      </c>
      <c r="H3" s="632" t="s">
        <v>5</v>
      </c>
      <c r="I3" s="633" t="s">
        <v>6</v>
      </c>
      <c r="J3" s="634" t="s">
        <v>7</v>
      </c>
    </row>
    <row r="4" spans="1:18" s="268" customFormat="1" ht="45" customHeight="1" x14ac:dyDescent="0.25">
      <c r="B4" s="1154">
        <v>1</v>
      </c>
      <c r="C4" s="1151" t="s">
        <v>237</v>
      </c>
      <c r="D4" s="1125" t="s">
        <v>14</v>
      </c>
      <c r="E4" s="507" t="s">
        <v>98</v>
      </c>
      <c r="F4" s="508" t="s">
        <v>70</v>
      </c>
      <c r="G4" s="637">
        <f>'اسعار الخامات'!E50</f>
        <v>291.45</v>
      </c>
      <c r="H4" s="510">
        <v>1</v>
      </c>
      <c r="I4" s="638"/>
      <c r="J4" s="510">
        <f t="shared" ref="J4:J13" si="0">H4*G4+(I4*H4*G4)</f>
        <v>291.45</v>
      </c>
    </row>
    <row r="5" spans="1:18" s="268" customFormat="1" ht="45" customHeight="1" thickBot="1" x14ac:dyDescent="0.3">
      <c r="B5" s="1155"/>
      <c r="C5" s="1152"/>
      <c r="D5" s="1126"/>
      <c r="E5" s="517" t="s">
        <v>99</v>
      </c>
      <c r="F5" s="518" t="s">
        <v>70</v>
      </c>
      <c r="G5" s="639">
        <f>'اسعار الخامات'!E63</f>
        <v>16.5</v>
      </c>
      <c r="H5" s="520">
        <v>1</v>
      </c>
      <c r="I5" s="640"/>
      <c r="J5" s="520">
        <f t="shared" si="0"/>
        <v>16.5</v>
      </c>
      <c r="R5" s="910" t="s">
        <v>1204</v>
      </c>
    </row>
    <row r="6" spans="1:18" s="268" customFormat="1" ht="52.5" customHeight="1" x14ac:dyDescent="0.25">
      <c r="B6" s="1155"/>
      <c r="C6" s="1152"/>
      <c r="D6" s="1126"/>
      <c r="E6" s="517" t="s">
        <v>100</v>
      </c>
      <c r="F6" s="518" t="s">
        <v>70</v>
      </c>
      <c r="G6" s="518">
        <v>7</v>
      </c>
      <c r="H6" s="520">
        <v>1</v>
      </c>
      <c r="I6" s="640"/>
      <c r="J6" s="520">
        <f t="shared" si="0"/>
        <v>7</v>
      </c>
      <c r="N6" s="795" t="s">
        <v>952</v>
      </c>
      <c r="R6" s="911" t="s">
        <v>1205</v>
      </c>
    </row>
    <row r="7" spans="1:18" s="268" customFormat="1" ht="69.75" customHeight="1" x14ac:dyDescent="0.25">
      <c r="B7" s="1155"/>
      <c r="C7" s="1152"/>
      <c r="D7" s="1126"/>
      <c r="E7" s="517" t="s">
        <v>101</v>
      </c>
      <c r="F7" s="518" t="s">
        <v>70</v>
      </c>
      <c r="G7" s="518">
        <v>3.5</v>
      </c>
      <c r="H7" s="520">
        <v>1</v>
      </c>
      <c r="I7" s="640"/>
      <c r="J7" s="520">
        <f t="shared" si="0"/>
        <v>3.5</v>
      </c>
      <c r="N7" s="796" t="s">
        <v>953</v>
      </c>
      <c r="R7" s="911" t="s">
        <v>1206</v>
      </c>
    </row>
    <row r="8" spans="1:18" s="268" customFormat="1" ht="45" customHeight="1" x14ac:dyDescent="0.25">
      <c r="B8" s="1155"/>
      <c r="C8" s="1152"/>
      <c r="D8" s="1126"/>
      <c r="E8" s="517" t="s">
        <v>102</v>
      </c>
      <c r="F8" s="518" t="s">
        <v>70</v>
      </c>
      <c r="G8" s="518">
        <v>7.5</v>
      </c>
      <c r="H8" s="520">
        <v>2</v>
      </c>
      <c r="I8" s="640"/>
      <c r="J8" s="520">
        <f t="shared" si="0"/>
        <v>15</v>
      </c>
      <c r="N8" s="796" t="s">
        <v>954</v>
      </c>
      <c r="R8" s="911" t="s">
        <v>1207</v>
      </c>
    </row>
    <row r="9" spans="1:18" s="268" customFormat="1" ht="45" customHeight="1" x14ac:dyDescent="0.25">
      <c r="B9" s="1155"/>
      <c r="C9" s="1152"/>
      <c r="D9" s="1126"/>
      <c r="E9" s="517" t="s">
        <v>103</v>
      </c>
      <c r="F9" s="518" t="s">
        <v>70</v>
      </c>
      <c r="G9" s="639">
        <f>'اسعار الخامات'!E64</f>
        <v>10</v>
      </c>
      <c r="H9" s="520">
        <v>1</v>
      </c>
      <c r="I9" s="640"/>
      <c r="J9" s="520">
        <f t="shared" si="0"/>
        <v>10</v>
      </c>
      <c r="N9" s="800" t="s">
        <v>955</v>
      </c>
      <c r="R9" s="911" t="s">
        <v>1208</v>
      </c>
    </row>
    <row r="10" spans="1:18" s="268" customFormat="1" ht="45" customHeight="1" x14ac:dyDescent="0.25">
      <c r="B10" s="1155"/>
      <c r="C10" s="1152"/>
      <c r="D10" s="1126"/>
      <c r="E10" s="517" t="s">
        <v>104</v>
      </c>
      <c r="F10" s="518" t="s">
        <v>96</v>
      </c>
      <c r="G10" s="518">
        <v>1</v>
      </c>
      <c r="H10" s="520">
        <v>75</v>
      </c>
      <c r="I10" s="640"/>
      <c r="J10" s="520">
        <f t="shared" si="0"/>
        <v>75</v>
      </c>
      <c r="N10" s="796" t="s">
        <v>956</v>
      </c>
      <c r="R10" s="911" t="s">
        <v>1209</v>
      </c>
    </row>
    <row r="11" spans="1:18" s="268" customFormat="1" ht="45" customHeight="1" x14ac:dyDescent="0.25">
      <c r="B11" s="1155"/>
      <c r="C11" s="1152"/>
      <c r="D11" s="1126"/>
      <c r="E11" s="517" t="s">
        <v>105</v>
      </c>
      <c r="F11" s="518" t="s">
        <v>96</v>
      </c>
      <c r="G11" s="518">
        <v>1</v>
      </c>
      <c r="H11" s="520">
        <v>20</v>
      </c>
      <c r="I11" s="640"/>
      <c r="J11" s="520">
        <f t="shared" si="0"/>
        <v>20</v>
      </c>
      <c r="N11" s="796" t="s">
        <v>957</v>
      </c>
      <c r="R11" s="911" t="s">
        <v>1210</v>
      </c>
    </row>
    <row r="12" spans="1:18" s="268" customFormat="1" ht="45" customHeight="1" x14ac:dyDescent="0.25">
      <c r="B12" s="1155"/>
      <c r="C12" s="1152"/>
      <c r="D12" s="1157"/>
      <c r="E12" s="641" t="s">
        <v>106</v>
      </c>
      <c r="F12" s="642" t="s">
        <v>70</v>
      </c>
      <c r="G12" s="642">
        <v>7</v>
      </c>
      <c r="H12" s="643">
        <v>1</v>
      </c>
      <c r="I12" s="644"/>
      <c r="J12" s="643">
        <f t="shared" si="0"/>
        <v>7</v>
      </c>
      <c r="N12" s="796" t="s">
        <v>958</v>
      </c>
      <c r="R12" s="911" t="s">
        <v>1211</v>
      </c>
    </row>
    <row r="13" spans="1:18" s="268" customFormat="1" ht="45" customHeight="1" thickBot="1" x14ac:dyDescent="0.3">
      <c r="B13" s="1156"/>
      <c r="C13" s="1153"/>
      <c r="D13" s="645" t="s">
        <v>11</v>
      </c>
      <c r="E13" s="646" t="s">
        <v>73</v>
      </c>
      <c r="F13" s="647" t="s">
        <v>70</v>
      </c>
      <c r="G13" s="648">
        <f>'اسعار المصنعيات'!D52</f>
        <v>150</v>
      </c>
      <c r="H13" s="649">
        <v>1</v>
      </c>
      <c r="I13" s="650"/>
      <c r="J13" s="649">
        <f t="shared" si="0"/>
        <v>150</v>
      </c>
      <c r="N13" s="800" t="s">
        <v>959</v>
      </c>
      <c r="R13" s="911" t="s">
        <v>1212</v>
      </c>
    </row>
    <row r="14" spans="1:18" s="268" customFormat="1" ht="45" customHeight="1" thickBot="1" x14ac:dyDescent="0.3">
      <c r="B14" s="1114" t="s">
        <v>13</v>
      </c>
      <c r="C14" s="1115"/>
      <c r="D14" s="1115"/>
      <c r="E14" s="1115"/>
      <c r="F14" s="1115"/>
      <c r="G14" s="1115"/>
      <c r="H14" s="1115"/>
      <c r="I14" s="1116"/>
      <c r="J14" s="726">
        <f>SUM(J4:J13)</f>
        <v>595.45000000000005</v>
      </c>
      <c r="N14" s="796" t="s">
        <v>960</v>
      </c>
      <c r="R14" s="911" t="s">
        <v>1213</v>
      </c>
    </row>
    <row r="15" spans="1:18" s="471" customFormat="1" ht="45" customHeight="1" thickBot="1" x14ac:dyDescent="0.3">
      <c r="B15" s="597"/>
      <c r="C15" s="719"/>
      <c r="D15" s="598"/>
      <c r="E15" s="598"/>
      <c r="F15" s="598"/>
      <c r="G15" s="598"/>
      <c r="H15" s="598"/>
      <c r="I15" s="651"/>
      <c r="J15" s="652"/>
      <c r="N15" s="796" t="s">
        <v>961</v>
      </c>
      <c r="R15" s="911" t="s">
        <v>1214</v>
      </c>
    </row>
    <row r="16" spans="1:18" s="615" customFormat="1" ht="57" customHeight="1" thickTop="1" thickBot="1" x14ac:dyDescent="0.55000000000000004">
      <c r="A16" s="612"/>
      <c r="B16" s="631" t="s">
        <v>0</v>
      </c>
      <c r="C16" s="725" t="s">
        <v>1</v>
      </c>
      <c r="D16" s="1149" t="s">
        <v>2</v>
      </c>
      <c r="E16" s="1150"/>
      <c r="F16" s="632" t="s">
        <v>3</v>
      </c>
      <c r="G16" s="632" t="s">
        <v>4</v>
      </c>
      <c r="H16" s="632" t="s">
        <v>5</v>
      </c>
      <c r="I16" s="633" t="s">
        <v>6</v>
      </c>
      <c r="J16" s="634" t="s">
        <v>7</v>
      </c>
      <c r="N16" s="796" t="s">
        <v>962</v>
      </c>
      <c r="R16" s="911" t="s">
        <v>1215</v>
      </c>
    </row>
    <row r="17" spans="1:18" s="268" customFormat="1" ht="45" customHeight="1" x14ac:dyDescent="0.25">
      <c r="B17" s="1154">
        <v>2</v>
      </c>
      <c r="C17" s="1151" t="s">
        <v>238</v>
      </c>
      <c r="D17" s="1125" t="s">
        <v>14</v>
      </c>
      <c r="E17" s="507" t="s">
        <v>107</v>
      </c>
      <c r="F17" s="508" t="s">
        <v>70</v>
      </c>
      <c r="G17" s="637">
        <f>'اسعار الخامات'!E51</f>
        <v>291.45</v>
      </c>
      <c r="H17" s="510">
        <v>1</v>
      </c>
      <c r="I17" s="638"/>
      <c r="J17" s="510">
        <f t="shared" ref="J17:J27" si="1">H17*G17+(I17*H17*G17)</f>
        <v>291.45</v>
      </c>
      <c r="R17" s="911" t="s">
        <v>1216</v>
      </c>
    </row>
    <row r="18" spans="1:18" s="268" customFormat="1" ht="45" customHeight="1" x14ac:dyDescent="0.25">
      <c r="B18" s="1155"/>
      <c r="C18" s="1152"/>
      <c r="D18" s="1126"/>
      <c r="E18" s="517" t="s">
        <v>99</v>
      </c>
      <c r="F18" s="518" t="s">
        <v>70</v>
      </c>
      <c r="G18" s="639">
        <f>'اسعار الخامات'!E63</f>
        <v>16.5</v>
      </c>
      <c r="H18" s="520">
        <v>2</v>
      </c>
      <c r="I18" s="640"/>
      <c r="J18" s="520">
        <f t="shared" si="1"/>
        <v>33</v>
      </c>
      <c r="R18" s="911" t="s">
        <v>1217</v>
      </c>
    </row>
    <row r="19" spans="1:18" s="268" customFormat="1" ht="45" customHeight="1" x14ac:dyDescent="0.25">
      <c r="B19" s="1155"/>
      <c r="C19" s="1152"/>
      <c r="D19" s="1126"/>
      <c r="E19" s="517" t="s">
        <v>103</v>
      </c>
      <c r="F19" s="518" t="s">
        <v>70</v>
      </c>
      <c r="G19" s="639">
        <f>'اسعار الخامات'!E64</f>
        <v>10</v>
      </c>
      <c r="H19" s="520">
        <v>2</v>
      </c>
      <c r="I19" s="640"/>
      <c r="J19" s="520">
        <f t="shared" si="1"/>
        <v>20</v>
      </c>
      <c r="R19" s="911" t="s">
        <v>1218</v>
      </c>
    </row>
    <row r="20" spans="1:18" s="268" customFormat="1" ht="45" customHeight="1" x14ac:dyDescent="0.25">
      <c r="B20" s="1155"/>
      <c r="C20" s="1152"/>
      <c r="D20" s="1126"/>
      <c r="E20" s="517" t="s">
        <v>108</v>
      </c>
      <c r="F20" s="518" t="s">
        <v>70</v>
      </c>
      <c r="G20" s="639">
        <f>'اسعار الخامات'!E60</f>
        <v>125</v>
      </c>
      <c r="H20" s="520">
        <v>1</v>
      </c>
      <c r="I20" s="640"/>
      <c r="J20" s="520">
        <f t="shared" si="1"/>
        <v>125</v>
      </c>
      <c r="R20" s="911" t="s">
        <v>1219</v>
      </c>
    </row>
    <row r="21" spans="1:18" s="268" customFormat="1" ht="45" customHeight="1" x14ac:dyDescent="0.25">
      <c r="B21" s="1155"/>
      <c r="C21" s="1152"/>
      <c r="D21" s="1126"/>
      <c r="E21" s="517" t="s">
        <v>102</v>
      </c>
      <c r="F21" s="518" t="s">
        <v>70</v>
      </c>
      <c r="G21" s="518">
        <v>7.5</v>
      </c>
      <c r="H21" s="520">
        <v>2</v>
      </c>
      <c r="I21" s="640"/>
      <c r="J21" s="520">
        <f t="shared" si="1"/>
        <v>15</v>
      </c>
      <c r="R21" s="911" t="s">
        <v>1220</v>
      </c>
    </row>
    <row r="22" spans="1:18" s="268" customFormat="1" ht="45" customHeight="1" x14ac:dyDescent="0.25">
      <c r="B22" s="1155"/>
      <c r="C22" s="1152"/>
      <c r="D22" s="1126"/>
      <c r="E22" s="517" t="s">
        <v>106</v>
      </c>
      <c r="F22" s="518" t="s">
        <v>70</v>
      </c>
      <c r="G22" s="518">
        <v>7</v>
      </c>
      <c r="H22" s="520">
        <v>1</v>
      </c>
      <c r="I22" s="640"/>
      <c r="J22" s="520">
        <f t="shared" si="1"/>
        <v>7</v>
      </c>
      <c r="R22" s="911" t="s">
        <v>1221</v>
      </c>
    </row>
    <row r="23" spans="1:18" s="268" customFormat="1" ht="45" customHeight="1" x14ac:dyDescent="0.25">
      <c r="B23" s="1155"/>
      <c r="C23" s="1152"/>
      <c r="D23" s="1160"/>
      <c r="E23" s="653" t="s">
        <v>109</v>
      </c>
      <c r="F23" s="654" t="s">
        <v>70</v>
      </c>
      <c r="G23" s="654">
        <v>10</v>
      </c>
      <c r="H23" s="581">
        <v>1</v>
      </c>
      <c r="I23" s="655"/>
      <c r="J23" s="581">
        <f t="shared" si="1"/>
        <v>10</v>
      </c>
      <c r="R23" s="911" t="s">
        <v>1222</v>
      </c>
    </row>
    <row r="24" spans="1:18" s="268" customFormat="1" ht="45" customHeight="1" x14ac:dyDescent="0.25">
      <c r="B24" s="1155"/>
      <c r="C24" s="1152"/>
      <c r="D24" s="656"/>
      <c r="E24" s="517" t="s">
        <v>104</v>
      </c>
      <c r="F24" s="518" t="s">
        <v>96</v>
      </c>
      <c r="G24" s="657">
        <v>75</v>
      </c>
      <c r="H24" s="520">
        <v>1</v>
      </c>
      <c r="I24" s="640"/>
      <c r="J24" s="520">
        <f t="shared" si="1"/>
        <v>75</v>
      </c>
      <c r="R24" s="911" t="s">
        <v>1223</v>
      </c>
    </row>
    <row r="25" spans="1:18" s="268" customFormat="1" ht="45" customHeight="1" x14ac:dyDescent="0.25">
      <c r="B25" s="1155"/>
      <c r="C25" s="1152"/>
      <c r="D25" s="656"/>
      <c r="E25" s="534" t="s">
        <v>110</v>
      </c>
      <c r="F25" s="518" t="s">
        <v>96</v>
      </c>
      <c r="G25" s="657">
        <v>20</v>
      </c>
      <c r="H25" s="520">
        <v>1</v>
      </c>
      <c r="I25" s="640"/>
      <c r="J25" s="520">
        <f t="shared" si="1"/>
        <v>20</v>
      </c>
      <c r="R25" s="911" t="s">
        <v>1224</v>
      </c>
    </row>
    <row r="26" spans="1:18" s="268" customFormat="1" ht="45" customHeight="1" x14ac:dyDescent="0.25">
      <c r="B26" s="1155"/>
      <c r="C26" s="1152"/>
      <c r="D26" s="658"/>
      <c r="E26" s="653" t="s">
        <v>105</v>
      </c>
      <c r="F26" s="654" t="s">
        <v>96</v>
      </c>
      <c r="G26" s="659">
        <v>20</v>
      </c>
      <c r="H26" s="581">
        <v>1</v>
      </c>
      <c r="I26" s="655"/>
      <c r="J26" s="581">
        <f t="shared" si="1"/>
        <v>20</v>
      </c>
      <c r="R26" s="911" t="s">
        <v>1225</v>
      </c>
    </row>
    <row r="27" spans="1:18" s="268" customFormat="1" ht="45" customHeight="1" thickBot="1" x14ac:dyDescent="0.3">
      <c r="B27" s="1156"/>
      <c r="C27" s="1153"/>
      <c r="D27" s="660" t="s">
        <v>11</v>
      </c>
      <c r="E27" s="661" t="s">
        <v>73</v>
      </c>
      <c r="F27" s="662" t="s">
        <v>70</v>
      </c>
      <c r="G27" s="663">
        <f>'اسعار المصنعيات'!D53</f>
        <v>120</v>
      </c>
      <c r="H27" s="664">
        <v>1</v>
      </c>
      <c r="I27" s="665"/>
      <c r="J27" s="664">
        <f t="shared" si="1"/>
        <v>120</v>
      </c>
      <c r="R27" s="911" t="s">
        <v>1226</v>
      </c>
    </row>
    <row r="28" spans="1:18" s="268" customFormat="1" ht="45" customHeight="1" thickBot="1" x14ac:dyDescent="0.3">
      <c r="B28" s="1114" t="s">
        <v>13</v>
      </c>
      <c r="C28" s="1115"/>
      <c r="D28" s="1115"/>
      <c r="E28" s="1115"/>
      <c r="F28" s="1115"/>
      <c r="G28" s="1115"/>
      <c r="H28" s="1115"/>
      <c r="I28" s="1116"/>
      <c r="J28" s="726">
        <f>SUM(J17:J27)</f>
        <v>736.45</v>
      </c>
      <c r="R28" s="911" t="s">
        <v>1227</v>
      </c>
    </row>
    <row r="29" spans="1:18" s="471" customFormat="1" ht="45" customHeight="1" thickBot="1" x14ac:dyDescent="0.3">
      <c r="B29" s="597"/>
      <c r="C29" s="719"/>
      <c r="D29" s="598"/>
      <c r="E29" s="598"/>
      <c r="F29" s="598"/>
      <c r="G29" s="598"/>
      <c r="H29" s="598"/>
      <c r="I29" s="651"/>
      <c r="J29" s="652"/>
      <c r="R29" s="911" t="s">
        <v>1228</v>
      </c>
    </row>
    <row r="30" spans="1:18" s="615" customFormat="1" ht="57" customHeight="1" thickTop="1" thickBot="1" x14ac:dyDescent="0.55000000000000004">
      <c r="A30" s="612"/>
      <c r="B30" s="631" t="s">
        <v>0</v>
      </c>
      <c r="C30" s="725" t="s">
        <v>1</v>
      </c>
      <c r="D30" s="1149" t="s">
        <v>2</v>
      </c>
      <c r="E30" s="1150"/>
      <c r="F30" s="632" t="s">
        <v>3</v>
      </c>
      <c r="G30" s="632" t="s">
        <v>4</v>
      </c>
      <c r="H30" s="632" t="s">
        <v>5</v>
      </c>
      <c r="I30" s="633" t="s">
        <v>6</v>
      </c>
      <c r="J30" s="634" t="s">
        <v>7</v>
      </c>
      <c r="R30" s="911" t="s">
        <v>1229</v>
      </c>
    </row>
    <row r="31" spans="1:18" s="268" customFormat="1" ht="45" customHeight="1" x14ac:dyDescent="0.25">
      <c r="B31" s="1154">
        <v>3</v>
      </c>
      <c r="C31" s="1151" t="s">
        <v>310</v>
      </c>
      <c r="D31" s="1136" t="s">
        <v>14</v>
      </c>
      <c r="E31" s="507" t="s">
        <v>112</v>
      </c>
      <c r="F31" s="508" t="s">
        <v>70</v>
      </c>
      <c r="G31" s="637">
        <f>'اسعار الخامات'!E53</f>
        <v>120</v>
      </c>
      <c r="H31" s="510">
        <v>1</v>
      </c>
      <c r="I31" s="638"/>
      <c r="J31" s="510">
        <f t="shared" ref="J31:J37" si="2">H31*G31+(I31*H31*G31)</f>
        <v>120</v>
      </c>
      <c r="R31" s="911" t="s">
        <v>1230</v>
      </c>
    </row>
    <row r="32" spans="1:18" s="268" customFormat="1" ht="45" customHeight="1" x14ac:dyDescent="0.25">
      <c r="B32" s="1155"/>
      <c r="C32" s="1152"/>
      <c r="D32" s="1137"/>
      <c r="E32" s="517" t="s">
        <v>111</v>
      </c>
      <c r="F32" s="518" t="s">
        <v>70</v>
      </c>
      <c r="G32" s="639">
        <f>'اسعار الخامات'!E62</f>
        <v>284.57</v>
      </c>
      <c r="H32" s="520">
        <v>1</v>
      </c>
      <c r="I32" s="640"/>
      <c r="J32" s="520">
        <f t="shared" si="2"/>
        <v>284.57</v>
      </c>
      <c r="R32" s="911" t="s">
        <v>1231</v>
      </c>
    </row>
    <row r="33" spans="1:10" s="268" customFormat="1" ht="45" customHeight="1" x14ac:dyDescent="0.25">
      <c r="B33" s="1155"/>
      <c r="C33" s="1152"/>
      <c r="D33" s="1137"/>
      <c r="E33" s="517" t="s">
        <v>103</v>
      </c>
      <c r="F33" s="518" t="s">
        <v>70</v>
      </c>
      <c r="G33" s="639">
        <f>'اسعار الخامات'!E64</f>
        <v>10</v>
      </c>
      <c r="H33" s="520">
        <v>2</v>
      </c>
      <c r="I33" s="640"/>
      <c r="J33" s="520">
        <f t="shared" si="2"/>
        <v>20</v>
      </c>
    </row>
    <row r="34" spans="1:10" s="268" customFormat="1" ht="45" customHeight="1" x14ac:dyDescent="0.25">
      <c r="B34" s="1155"/>
      <c r="C34" s="1152"/>
      <c r="D34" s="1137"/>
      <c r="E34" s="517" t="s">
        <v>104</v>
      </c>
      <c r="F34" s="518" t="s">
        <v>96</v>
      </c>
      <c r="G34" s="657">
        <v>75</v>
      </c>
      <c r="H34" s="520">
        <v>1</v>
      </c>
      <c r="I34" s="640"/>
      <c r="J34" s="520">
        <f t="shared" si="2"/>
        <v>75</v>
      </c>
    </row>
    <row r="35" spans="1:10" s="268" customFormat="1" ht="45" customHeight="1" x14ac:dyDescent="0.25">
      <c r="B35" s="1155"/>
      <c r="C35" s="1152"/>
      <c r="D35" s="1137"/>
      <c r="E35" s="534" t="s">
        <v>110</v>
      </c>
      <c r="F35" s="518" t="s">
        <v>96</v>
      </c>
      <c r="G35" s="657">
        <v>30</v>
      </c>
      <c r="H35" s="520">
        <v>1</v>
      </c>
      <c r="I35" s="640"/>
      <c r="J35" s="520">
        <f t="shared" si="2"/>
        <v>30</v>
      </c>
    </row>
    <row r="36" spans="1:10" s="268" customFormat="1" ht="45" customHeight="1" x14ac:dyDescent="0.25">
      <c r="B36" s="1155"/>
      <c r="C36" s="1152"/>
      <c r="D36" s="1137"/>
      <c r="E36" s="653" t="s">
        <v>113</v>
      </c>
      <c r="F36" s="654" t="s">
        <v>96</v>
      </c>
      <c r="G36" s="659">
        <v>30</v>
      </c>
      <c r="H36" s="581">
        <v>1</v>
      </c>
      <c r="I36" s="655"/>
      <c r="J36" s="581">
        <f t="shared" si="2"/>
        <v>30</v>
      </c>
    </row>
    <row r="37" spans="1:10" s="268" customFormat="1" ht="45" customHeight="1" thickBot="1" x14ac:dyDescent="0.3">
      <c r="B37" s="1156"/>
      <c r="C37" s="1153"/>
      <c r="D37" s="660" t="s">
        <v>11</v>
      </c>
      <c r="E37" s="661" t="s">
        <v>73</v>
      </c>
      <c r="F37" s="662" t="s">
        <v>70</v>
      </c>
      <c r="G37" s="663">
        <f>'اسعار المصنعيات'!D55</f>
        <v>100</v>
      </c>
      <c r="H37" s="664">
        <v>1</v>
      </c>
      <c r="I37" s="665"/>
      <c r="J37" s="664">
        <f t="shared" si="2"/>
        <v>100</v>
      </c>
    </row>
    <row r="38" spans="1:10" s="268" customFormat="1" ht="45" customHeight="1" thickBot="1" x14ac:dyDescent="0.3">
      <c r="B38" s="1114" t="s">
        <v>13</v>
      </c>
      <c r="C38" s="1115"/>
      <c r="D38" s="1115"/>
      <c r="E38" s="1115"/>
      <c r="F38" s="1115"/>
      <c r="G38" s="1115"/>
      <c r="H38" s="1115"/>
      <c r="I38" s="1116"/>
      <c r="J38" s="726">
        <f>SUM(J31:J37)</f>
        <v>659.56999999999994</v>
      </c>
    </row>
    <row r="39" spans="1:10" s="666" customFormat="1" ht="45" customHeight="1" thickBot="1" x14ac:dyDescent="0.3">
      <c r="C39" s="720"/>
      <c r="I39" s="667"/>
      <c r="J39" s="668"/>
    </row>
    <row r="40" spans="1:10" s="615" customFormat="1" ht="57" customHeight="1" thickTop="1" thickBot="1" x14ac:dyDescent="0.55000000000000004">
      <c r="A40" s="612"/>
      <c r="B40" s="631" t="s">
        <v>0</v>
      </c>
      <c r="C40" s="725" t="s">
        <v>1</v>
      </c>
      <c r="D40" s="1149" t="s">
        <v>2</v>
      </c>
      <c r="E40" s="1150"/>
      <c r="F40" s="632" t="s">
        <v>3</v>
      </c>
      <c r="G40" s="632" t="s">
        <v>4</v>
      </c>
      <c r="H40" s="632" t="s">
        <v>5</v>
      </c>
      <c r="I40" s="633" t="s">
        <v>6</v>
      </c>
      <c r="J40" s="634" t="s">
        <v>7</v>
      </c>
    </row>
    <row r="41" spans="1:10" s="268" customFormat="1" ht="45" customHeight="1" x14ac:dyDescent="0.25">
      <c r="B41" s="1154">
        <v>4</v>
      </c>
      <c r="C41" s="1151" t="s">
        <v>314</v>
      </c>
      <c r="D41" s="1136" t="s">
        <v>14</v>
      </c>
      <c r="E41" s="507" t="s">
        <v>112</v>
      </c>
      <c r="F41" s="508" t="s">
        <v>70</v>
      </c>
      <c r="G41" s="637">
        <f>'اسعار الخامات'!E54</f>
        <v>273</v>
      </c>
      <c r="H41" s="510">
        <v>1</v>
      </c>
      <c r="I41" s="638"/>
      <c r="J41" s="510">
        <f t="shared" ref="J41:J47" si="3">H41*G41+(I41*H41*G41)</f>
        <v>273</v>
      </c>
    </row>
    <row r="42" spans="1:10" s="268" customFormat="1" ht="45" customHeight="1" x14ac:dyDescent="0.25">
      <c r="B42" s="1155"/>
      <c r="C42" s="1152"/>
      <c r="D42" s="1137"/>
      <c r="E42" s="517" t="s">
        <v>111</v>
      </c>
      <c r="F42" s="518" t="s">
        <v>70</v>
      </c>
      <c r="G42" s="639">
        <f>'اسعار الخامات'!E62</f>
        <v>284.57</v>
      </c>
      <c r="H42" s="520">
        <v>1</v>
      </c>
      <c r="I42" s="640">
        <v>0.01</v>
      </c>
      <c r="J42" s="520">
        <f t="shared" si="3"/>
        <v>287.41570000000002</v>
      </c>
    </row>
    <row r="43" spans="1:10" s="268" customFormat="1" ht="45" customHeight="1" x14ac:dyDescent="0.25">
      <c r="B43" s="1155"/>
      <c r="C43" s="1152"/>
      <c r="D43" s="1137"/>
      <c r="E43" s="517" t="s">
        <v>103</v>
      </c>
      <c r="F43" s="518" t="s">
        <v>70</v>
      </c>
      <c r="G43" s="639">
        <f>'اسعار الخامات'!E64</f>
        <v>10</v>
      </c>
      <c r="H43" s="520">
        <v>2</v>
      </c>
      <c r="I43" s="640"/>
      <c r="J43" s="520">
        <f t="shared" si="3"/>
        <v>20</v>
      </c>
    </row>
    <row r="44" spans="1:10" s="268" customFormat="1" ht="45" customHeight="1" x14ac:dyDescent="0.25">
      <c r="B44" s="1155"/>
      <c r="C44" s="1152"/>
      <c r="D44" s="1137"/>
      <c r="E44" s="517" t="s">
        <v>104</v>
      </c>
      <c r="F44" s="518" t="s">
        <v>96</v>
      </c>
      <c r="G44" s="657">
        <v>75</v>
      </c>
      <c r="H44" s="520">
        <v>1</v>
      </c>
      <c r="I44" s="640"/>
      <c r="J44" s="520">
        <f t="shared" si="3"/>
        <v>75</v>
      </c>
    </row>
    <row r="45" spans="1:10" s="268" customFormat="1" ht="45" customHeight="1" x14ac:dyDescent="0.25">
      <c r="B45" s="1155"/>
      <c r="C45" s="1152"/>
      <c r="D45" s="1137"/>
      <c r="E45" s="534" t="s">
        <v>110</v>
      </c>
      <c r="F45" s="518" t="s">
        <v>96</v>
      </c>
      <c r="G45" s="657">
        <v>30</v>
      </c>
      <c r="H45" s="520">
        <v>1</v>
      </c>
      <c r="I45" s="640"/>
      <c r="J45" s="520">
        <f t="shared" si="3"/>
        <v>30</v>
      </c>
    </row>
    <row r="46" spans="1:10" s="268" customFormat="1" ht="45" customHeight="1" x14ac:dyDescent="0.25">
      <c r="B46" s="1155"/>
      <c r="C46" s="1152"/>
      <c r="D46" s="1137"/>
      <c r="E46" s="653" t="s">
        <v>113</v>
      </c>
      <c r="F46" s="654" t="s">
        <v>96</v>
      </c>
      <c r="G46" s="659">
        <v>30</v>
      </c>
      <c r="H46" s="581">
        <v>1</v>
      </c>
      <c r="I46" s="655"/>
      <c r="J46" s="581">
        <f t="shared" si="3"/>
        <v>30</v>
      </c>
    </row>
    <row r="47" spans="1:10" s="268" customFormat="1" ht="45" customHeight="1" thickBot="1" x14ac:dyDescent="0.3">
      <c r="B47" s="1156"/>
      <c r="C47" s="1153"/>
      <c r="D47" s="660" t="s">
        <v>11</v>
      </c>
      <c r="E47" s="661" t="s">
        <v>73</v>
      </c>
      <c r="F47" s="662" t="s">
        <v>70</v>
      </c>
      <c r="G47" s="663">
        <f>'اسعار المصنعيات'!D56</f>
        <v>150</v>
      </c>
      <c r="H47" s="664">
        <v>1</v>
      </c>
      <c r="I47" s="665"/>
      <c r="J47" s="664">
        <f t="shared" si="3"/>
        <v>150</v>
      </c>
    </row>
    <row r="48" spans="1:10" s="268" customFormat="1" ht="45" customHeight="1" thickBot="1" x14ac:dyDescent="0.3">
      <c r="B48" s="1114" t="s">
        <v>13</v>
      </c>
      <c r="C48" s="1115"/>
      <c r="D48" s="1115"/>
      <c r="E48" s="1115"/>
      <c r="F48" s="1115"/>
      <c r="G48" s="1115"/>
      <c r="H48" s="1115"/>
      <c r="I48" s="1116"/>
      <c r="J48" s="726">
        <f>SUM(J41:J47)</f>
        <v>865.41570000000002</v>
      </c>
    </row>
    <row r="49" spans="1:10" s="471" customFormat="1" ht="45" customHeight="1" thickBot="1" x14ac:dyDescent="0.3">
      <c r="B49" s="597"/>
      <c r="C49" s="719"/>
      <c r="D49" s="598"/>
      <c r="E49" s="598"/>
      <c r="F49" s="598"/>
      <c r="G49" s="598"/>
      <c r="H49" s="598"/>
      <c r="I49" s="651"/>
      <c r="J49" s="652"/>
    </row>
    <row r="50" spans="1:10" s="615" customFormat="1" ht="57" customHeight="1" thickTop="1" thickBot="1" x14ac:dyDescent="0.55000000000000004">
      <c r="A50" s="612"/>
      <c r="B50" s="631" t="s">
        <v>0</v>
      </c>
      <c r="C50" s="725" t="s">
        <v>1</v>
      </c>
      <c r="D50" s="1149" t="s">
        <v>2</v>
      </c>
      <c r="E50" s="1150"/>
      <c r="F50" s="632" t="s">
        <v>3</v>
      </c>
      <c r="G50" s="632" t="s">
        <v>4</v>
      </c>
      <c r="H50" s="632" t="s">
        <v>5</v>
      </c>
      <c r="I50" s="633" t="s">
        <v>6</v>
      </c>
      <c r="J50" s="634" t="s">
        <v>7</v>
      </c>
    </row>
    <row r="51" spans="1:10" s="268" customFormat="1" ht="45" customHeight="1" x14ac:dyDescent="0.25">
      <c r="B51" s="1154">
        <v>5</v>
      </c>
      <c r="C51" s="1151" t="s">
        <v>114</v>
      </c>
      <c r="D51" s="1125" t="s">
        <v>14</v>
      </c>
      <c r="E51" s="507" t="s">
        <v>115</v>
      </c>
      <c r="F51" s="508" t="s">
        <v>70</v>
      </c>
      <c r="G51" s="637">
        <f>'اسعار الخامات'!E52</f>
        <v>120</v>
      </c>
      <c r="H51" s="510">
        <v>1</v>
      </c>
      <c r="I51" s="638"/>
      <c r="J51" s="510">
        <f t="shared" ref="J51:J59" si="4">H51*G51+(I51*H51*G51)</f>
        <v>120</v>
      </c>
    </row>
    <row r="52" spans="1:10" s="268" customFormat="1" ht="45" customHeight="1" x14ac:dyDescent="0.25">
      <c r="B52" s="1155"/>
      <c r="C52" s="1152"/>
      <c r="D52" s="1126"/>
      <c r="E52" s="517" t="s">
        <v>103</v>
      </c>
      <c r="F52" s="518" t="s">
        <v>70</v>
      </c>
      <c r="G52" s="639">
        <f>'اسعار الخامات'!E64</f>
        <v>10</v>
      </c>
      <c r="H52" s="520">
        <v>2</v>
      </c>
      <c r="I52" s="640">
        <v>0.05</v>
      </c>
      <c r="J52" s="520">
        <f t="shared" si="4"/>
        <v>21</v>
      </c>
    </row>
    <row r="53" spans="1:10" s="268" customFormat="1" ht="45" customHeight="1" x14ac:dyDescent="0.25">
      <c r="B53" s="1155"/>
      <c r="C53" s="1152"/>
      <c r="D53" s="1126"/>
      <c r="E53" s="517" t="s">
        <v>116</v>
      </c>
      <c r="F53" s="518" t="s">
        <v>70</v>
      </c>
      <c r="G53" s="639">
        <f>'اسعار الخامات'!E61</f>
        <v>207.35</v>
      </c>
      <c r="H53" s="520">
        <v>1</v>
      </c>
      <c r="I53" s="640">
        <v>0.01</v>
      </c>
      <c r="J53" s="520">
        <f t="shared" si="4"/>
        <v>209.42349999999999</v>
      </c>
    </row>
    <row r="54" spans="1:10" s="268" customFormat="1" ht="45" customHeight="1" x14ac:dyDescent="0.25">
      <c r="B54" s="1155"/>
      <c r="C54" s="1152"/>
      <c r="D54" s="1126"/>
      <c r="E54" s="517" t="s">
        <v>117</v>
      </c>
      <c r="F54" s="518" t="s">
        <v>70</v>
      </c>
      <c r="G54" s="657">
        <v>15</v>
      </c>
      <c r="H54" s="520">
        <v>1</v>
      </c>
      <c r="I54" s="640"/>
      <c r="J54" s="520">
        <f t="shared" si="4"/>
        <v>15</v>
      </c>
    </row>
    <row r="55" spans="1:10" s="268" customFormat="1" ht="45" customHeight="1" x14ac:dyDescent="0.25">
      <c r="B55" s="1155"/>
      <c r="C55" s="1152"/>
      <c r="D55" s="1160"/>
      <c r="E55" s="653" t="s">
        <v>109</v>
      </c>
      <c r="F55" s="654" t="s">
        <v>70</v>
      </c>
      <c r="G55" s="654">
        <v>10</v>
      </c>
      <c r="H55" s="581">
        <v>1</v>
      </c>
      <c r="I55" s="655"/>
      <c r="J55" s="581">
        <f t="shared" si="4"/>
        <v>10</v>
      </c>
    </row>
    <row r="56" spans="1:10" s="268" customFormat="1" ht="45" customHeight="1" x14ac:dyDescent="0.25">
      <c r="B56" s="1155"/>
      <c r="C56" s="1152"/>
      <c r="D56" s="656"/>
      <c r="E56" s="517" t="s">
        <v>104</v>
      </c>
      <c r="F56" s="518" t="s">
        <v>96</v>
      </c>
      <c r="G56" s="657">
        <v>75</v>
      </c>
      <c r="H56" s="520">
        <v>1</v>
      </c>
      <c r="I56" s="640"/>
      <c r="J56" s="520">
        <f t="shared" si="4"/>
        <v>75</v>
      </c>
    </row>
    <row r="57" spans="1:10" s="268" customFormat="1" ht="45" customHeight="1" x14ac:dyDescent="0.25">
      <c r="B57" s="1155"/>
      <c r="C57" s="1152"/>
      <c r="D57" s="656"/>
      <c r="E57" s="534" t="s">
        <v>110</v>
      </c>
      <c r="F57" s="518" t="s">
        <v>96</v>
      </c>
      <c r="G57" s="657">
        <v>20</v>
      </c>
      <c r="H57" s="520">
        <v>1</v>
      </c>
      <c r="I57" s="640"/>
      <c r="J57" s="520">
        <f t="shared" si="4"/>
        <v>20</v>
      </c>
    </row>
    <row r="58" spans="1:10" s="268" customFormat="1" ht="45" customHeight="1" x14ac:dyDescent="0.25">
      <c r="B58" s="1155"/>
      <c r="C58" s="1152"/>
      <c r="D58" s="658"/>
      <c r="E58" s="653" t="s">
        <v>105</v>
      </c>
      <c r="F58" s="654" t="s">
        <v>96</v>
      </c>
      <c r="G58" s="659">
        <v>20</v>
      </c>
      <c r="H58" s="581">
        <v>1</v>
      </c>
      <c r="I58" s="655"/>
      <c r="J58" s="581">
        <f t="shared" si="4"/>
        <v>20</v>
      </c>
    </row>
    <row r="59" spans="1:10" s="268" customFormat="1" ht="45" customHeight="1" thickBot="1" x14ac:dyDescent="0.3">
      <c r="B59" s="1156"/>
      <c r="C59" s="1153"/>
      <c r="D59" s="660" t="s">
        <v>11</v>
      </c>
      <c r="E59" s="661" t="s">
        <v>73</v>
      </c>
      <c r="F59" s="662" t="s">
        <v>70</v>
      </c>
      <c r="G59" s="663">
        <f>'اسعار المصنعيات'!D54</f>
        <v>120</v>
      </c>
      <c r="H59" s="664">
        <v>1</v>
      </c>
      <c r="I59" s="665"/>
      <c r="J59" s="664">
        <f t="shared" si="4"/>
        <v>120</v>
      </c>
    </row>
    <row r="60" spans="1:10" s="268" customFormat="1" ht="45" customHeight="1" thickBot="1" x14ac:dyDescent="0.3">
      <c r="B60" s="1114" t="s">
        <v>13</v>
      </c>
      <c r="C60" s="1115"/>
      <c r="D60" s="1115"/>
      <c r="E60" s="1115"/>
      <c r="F60" s="1115"/>
      <c r="G60" s="1115"/>
      <c r="H60" s="1115"/>
      <c r="I60" s="1116"/>
      <c r="J60" s="726">
        <f>SUM(J51:J59)</f>
        <v>610.42349999999999</v>
      </c>
    </row>
    <row r="61" spans="1:10" s="471" customFormat="1" ht="45" customHeight="1" thickBot="1" x14ac:dyDescent="0.3">
      <c r="B61" s="585"/>
      <c r="C61" s="721"/>
      <c r="D61" s="586"/>
      <c r="E61" s="586"/>
      <c r="F61" s="586"/>
      <c r="G61" s="586"/>
      <c r="H61" s="586"/>
      <c r="I61" s="669"/>
      <c r="J61" s="670"/>
    </row>
    <row r="62" spans="1:10" s="615" customFormat="1" ht="57" customHeight="1" thickTop="1" thickBot="1" x14ac:dyDescent="0.55000000000000004">
      <c r="A62" s="612"/>
      <c r="B62" s="631" t="s">
        <v>0</v>
      </c>
      <c r="C62" s="725" t="s">
        <v>1</v>
      </c>
      <c r="D62" s="1149" t="s">
        <v>2</v>
      </c>
      <c r="E62" s="1150"/>
      <c r="F62" s="632" t="s">
        <v>3</v>
      </c>
      <c r="G62" s="632" t="s">
        <v>4</v>
      </c>
      <c r="H62" s="632" t="s">
        <v>5</v>
      </c>
      <c r="I62" s="633" t="s">
        <v>6</v>
      </c>
      <c r="J62" s="634" t="s">
        <v>7</v>
      </c>
    </row>
    <row r="63" spans="1:10" s="268" customFormat="1" ht="45" customHeight="1" x14ac:dyDescent="0.25">
      <c r="B63" s="1154">
        <v>6</v>
      </c>
      <c r="C63" s="1151" t="s">
        <v>125</v>
      </c>
      <c r="D63" s="1136" t="s">
        <v>14</v>
      </c>
      <c r="E63" s="671" t="s">
        <v>126</v>
      </c>
      <c r="F63" s="672" t="s">
        <v>128</v>
      </c>
      <c r="G63" s="672">
        <v>30</v>
      </c>
      <c r="H63" s="673">
        <v>1</v>
      </c>
      <c r="I63" s="674"/>
      <c r="J63" s="675">
        <f t="shared" ref="J63:J71" si="5">H63*G63+(I63*H63*G63)</f>
        <v>30</v>
      </c>
    </row>
    <row r="64" spans="1:10" s="268" customFormat="1" ht="45" customHeight="1" x14ac:dyDescent="0.25">
      <c r="B64" s="1155"/>
      <c r="C64" s="1152"/>
      <c r="D64" s="1167"/>
      <c r="E64" s="280" t="s">
        <v>403</v>
      </c>
      <c r="F64" s="676" t="s">
        <v>194</v>
      </c>
      <c r="G64" s="677" t="e">
        <f>'خرسانة مسلحة'!#REF!*0.192</f>
        <v>#REF!</v>
      </c>
      <c r="H64" s="678">
        <v>1</v>
      </c>
      <c r="I64" s="679"/>
      <c r="J64" s="680" t="e">
        <f t="shared" si="5"/>
        <v>#REF!</v>
      </c>
    </row>
    <row r="65" spans="1:10" s="268" customFormat="1" ht="45" customHeight="1" x14ac:dyDescent="0.25">
      <c r="B65" s="1155"/>
      <c r="C65" s="1152"/>
      <c r="D65" s="1137"/>
      <c r="E65" s="681" t="s">
        <v>18</v>
      </c>
      <c r="F65" s="531" t="s">
        <v>49</v>
      </c>
      <c r="G65" s="682">
        <f>'اسعار الخامات'!E7/1000</f>
        <v>0.65</v>
      </c>
      <c r="H65" s="683">
        <v>91.2</v>
      </c>
      <c r="I65" s="684">
        <v>0.05</v>
      </c>
      <c r="J65" s="685">
        <f t="shared" ref="J65:J70" si="6">H65*G65+(I65*H65*G65)</f>
        <v>62.244</v>
      </c>
    </row>
    <row r="66" spans="1:10" s="268" customFormat="1" ht="45" customHeight="1" x14ac:dyDescent="0.25">
      <c r="B66" s="1155"/>
      <c r="C66" s="1152"/>
      <c r="D66" s="1137"/>
      <c r="E66" s="686" t="s">
        <v>21</v>
      </c>
      <c r="F66" s="518" t="s">
        <v>12</v>
      </c>
      <c r="G66" s="687">
        <f>'اسعار الخامات'!E9</f>
        <v>35</v>
      </c>
      <c r="H66" s="688">
        <v>0.29799999999999999</v>
      </c>
      <c r="I66" s="640">
        <v>0.1</v>
      </c>
      <c r="J66" s="689">
        <f t="shared" si="6"/>
        <v>11.472999999999999</v>
      </c>
    </row>
    <row r="67" spans="1:10" s="268" customFormat="1" ht="45" customHeight="1" x14ac:dyDescent="0.25">
      <c r="B67" s="1155"/>
      <c r="C67" s="1152"/>
      <c r="D67" s="1137"/>
      <c r="E67" s="686" t="s">
        <v>47</v>
      </c>
      <c r="F67" s="518" t="s">
        <v>136</v>
      </c>
      <c r="G67" s="687">
        <f>'اسعار الخامات'!E17</f>
        <v>275</v>
      </c>
      <c r="H67" s="688">
        <v>0.312</v>
      </c>
      <c r="I67" s="640">
        <v>0.05</v>
      </c>
      <c r="J67" s="689">
        <f t="shared" si="6"/>
        <v>90.09</v>
      </c>
    </row>
    <row r="68" spans="1:10" s="268" customFormat="1" ht="45" customHeight="1" x14ac:dyDescent="0.25">
      <c r="B68" s="1155"/>
      <c r="C68" s="1152"/>
      <c r="D68" s="1137"/>
      <c r="E68" s="690" t="s">
        <v>127</v>
      </c>
      <c r="F68" s="642" t="s">
        <v>70</v>
      </c>
      <c r="G68" s="691">
        <f>'اسعار الخامات'!E55</f>
        <v>560</v>
      </c>
      <c r="H68" s="692">
        <v>1</v>
      </c>
      <c r="I68" s="644">
        <v>0.05</v>
      </c>
      <c r="J68" s="693">
        <f t="shared" si="6"/>
        <v>588</v>
      </c>
    </row>
    <row r="69" spans="1:10" s="268" customFormat="1" ht="45" customHeight="1" x14ac:dyDescent="0.25">
      <c r="B69" s="1155"/>
      <c r="C69" s="1152"/>
      <c r="D69" s="1137"/>
      <c r="E69" s="694" t="s">
        <v>53</v>
      </c>
      <c r="F69" s="695" t="s">
        <v>49</v>
      </c>
      <c r="G69" s="696">
        <f>'اسعار الخامات'!E20/1000</f>
        <v>0.38</v>
      </c>
      <c r="H69" s="697">
        <v>1.5</v>
      </c>
      <c r="I69" s="698">
        <v>0.05</v>
      </c>
      <c r="J69" s="699">
        <f t="shared" si="6"/>
        <v>0.59850000000000003</v>
      </c>
    </row>
    <row r="70" spans="1:10" s="268" customFormat="1" ht="45" customHeight="1" x14ac:dyDescent="0.25">
      <c r="B70" s="1155"/>
      <c r="C70" s="1152"/>
      <c r="D70" s="700"/>
      <c r="E70" s="281" t="s">
        <v>140</v>
      </c>
      <c r="F70" s="262" t="s">
        <v>194</v>
      </c>
      <c r="G70" s="623">
        <v>14</v>
      </c>
      <c r="H70" s="262">
        <v>1</v>
      </c>
      <c r="I70" s="486"/>
      <c r="J70" s="263">
        <f t="shared" si="6"/>
        <v>14</v>
      </c>
    </row>
    <row r="71" spans="1:10" s="268" customFormat="1" ht="45" customHeight="1" thickBot="1" x14ac:dyDescent="0.3">
      <c r="B71" s="1156"/>
      <c r="C71" s="1153"/>
      <c r="D71" s="645" t="s">
        <v>11</v>
      </c>
      <c r="E71" s="701"/>
      <c r="F71" s="647" t="s">
        <v>70</v>
      </c>
      <c r="G71" s="648">
        <f>'اسعار المصنعيات'!D64</f>
        <v>300</v>
      </c>
      <c r="H71" s="702">
        <v>1</v>
      </c>
      <c r="I71" s="650"/>
      <c r="J71" s="703">
        <f t="shared" si="5"/>
        <v>300</v>
      </c>
    </row>
    <row r="72" spans="1:10" s="268" customFormat="1" ht="45" customHeight="1" thickBot="1" x14ac:dyDescent="0.3">
      <c r="B72" s="1114" t="s">
        <v>13</v>
      </c>
      <c r="C72" s="1115"/>
      <c r="D72" s="1115"/>
      <c r="E72" s="1115"/>
      <c r="F72" s="1115"/>
      <c r="G72" s="1115"/>
      <c r="H72" s="1115"/>
      <c r="I72" s="1116"/>
      <c r="J72" s="726">
        <f>SUM(J65:J71)</f>
        <v>1066.4054999999998</v>
      </c>
    </row>
    <row r="73" spans="1:10" s="268" customFormat="1" ht="45" customHeight="1" thickBot="1" x14ac:dyDescent="0.3">
      <c r="B73" s="498"/>
      <c r="C73" s="722"/>
      <c r="D73" s="471"/>
      <c r="F73" s="269"/>
      <c r="G73" s="269"/>
      <c r="H73" s="270"/>
      <c r="I73" s="704"/>
    </row>
    <row r="74" spans="1:10" s="615" customFormat="1" ht="57" customHeight="1" thickTop="1" thickBot="1" x14ac:dyDescent="0.55000000000000004">
      <c r="A74" s="612"/>
      <c r="B74" s="631" t="s">
        <v>0</v>
      </c>
      <c r="C74" s="725" t="s">
        <v>1</v>
      </c>
      <c r="D74" s="1149" t="s">
        <v>2</v>
      </c>
      <c r="E74" s="1150"/>
      <c r="F74" s="632" t="s">
        <v>3</v>
      </c>
      <c r="G74" s="632" t="s">
        <v>4</v>
      </c>
      <c r="H74" s="632" t="s">
        <v>5</v>
      </c>
      <c r="I74" s="633" t="s">
        <v>6</v>
      </c>
      <c r="J74" s="634" t="s">
        <v>7</v>
      </c>
    </row>
    <row r="75" spans="1:10" s="268" customFormat="1" ht="45" customHeight="1" x14ac:dyDescent="0.25">
      <c r="B75" s="1154">
        <v>7</v>
      </c>
      <c r="C75" s="1151" t="s">
        <v>147</v>
      </c>
      <c r="D75" s="1125" t="s">
        <v>14</v>
      </c>
      <c r="E75" s="507" t="s">
        <v>402</v>
      </c>
      <c r="F75" s="508" t="s">
        <v>70</v>
      </c>
      <c r="G75" s="637">
        <f>'اسعار الخامات'!E56</f>
        <v>33</v>
      </c>
      <c r="H75" s="510">
        <v>1</v>
      </c>
      <c r="I75" s="638">
        <v>0.05</v>
      </c>
      <c r="J75" s="705">
        <f>H75*G75+(I75*H75*G75)</f>
        <v>34.65</v>
      </c>
    </row>
    <row r="76" spans="1:10" s="268" customFormat="1" ht="45" customHeight="1" x14ac:dyDescent="0.25">
      <c r="B76" s="1155"/>
      <c r="C76" s="1152"/>
      <c r="D76" s="1126"/>
      <c r="E76" s="653" t="s">
        <v>404</v>
      </c>
      <c r="F76" s="654" t="s">
        <v>194</v>
      </c>
      <c r="G76" s="706">
        <v>20</v>
      </c>
      <c r="H76" s="581">
        <v>1</v>
      </c>
      <c r="I76" s="640"/>
      <c r="J76" s="532">
        <f t="shared" ref="J76" si="7">H76*G76+(I76*H76*G76)</f>
        <v>20</v>
      </c>
    </row>
    <row r="77" spans="1:10" s="268" customFormat="1" ht="45" customHeight="1" thickBot="1" x14ac:dyDescent="0.3">
      <c r="B77" s="1156"/>
      <c r="C77" s="1153"/>
      <c r="D77" s="645" t="s">
        <v>11</v>
      </c>
      <c r="E77" s="646" t="s">
        <v>148</v>
      </c>
      <c r="F77" s="647" t="s">
        <v>70</v>
      </c>
      <c r="G77" s="648">
        <f>'اسعار المصنعيات'!D63</f>
        <v>60</v>
      </c>
      <c r="H77" s="649">
        <v>1</v>
      </c>
      <c r="I77" s="650"/>
      <c r="J77" s="649">
        <f>H77*G77+(I77*H77*G77)</f>
        <v>60</v>
      </c>
    </row>
    <row r="78" spans="1:10" s="268" customFormat="1" ht="45" customHeight="1" thickBot="1" x14ac:dyDescent="0.3">
      <c r="B78" s="1114" t="s">
        <v>13</v>
      </c>
      <c r="C78" s="1115"/>
      <c r="D78" s="1115"/>
      <c r="E78" s="1115"/>
      <c r="F78" s="1115"/>
      <c r="G78" s="1115"/>
      <c r="H78" s="1115"/>
      <c r="I78" s="1116"/>
      <c r="J78" s="726">
        <f>SUM(J75:J77)</f>
        <v>114.65</v>
      </c>
    </row>
    <row r="79" spans="1:10" s="471" customFormat="1" ht="45" customHeight="1" thickBot="1" x14ac:dyDescent="0.3">
      <c r="B79" s="597"/>
      <c r="C79" s="721"/>
      <c r="D79" s="586"/>
      <c r="E79" s="586"/>
      <c r="F79" s="586"/>
      <c r="G79" s="586"/>
      <c r="H79" s="586"/>
      <c r="I79" s="669"/>
      <c r="J79" s="652"/>
    </row>
    <row r="80" spans="1:10" s="615" customFormat="1" ht="57" customHeight="1" thickTop="1" thickBot="1" x14ac:dyDescent="0.55000000000000004">
      <c r="A80" s="612"/>
      <c r="B80" s="631" t="s">
        <v>0</v>
      </c>
      <c r="C80" s="725" t="s">
        <v>1</v>
      </c>
      <c r="D80" s="1149" t="s">
        <v>2</v>
      </c>
      <c r="E80" s="1150"/>
      <c r="F80" s="632" t="s">
        <v>3</v>
      </c>
      <c r="G80" s="632" t="s">
        <v>4</v>
      </c>
      <c r="H80" s="632" t="s">
        <v>5</v>
      </c>
      <c r="I80" s="633" t="s">
        <v>6</v>
      </c>
      <c r="J80" s="634" t="s">
        <v>7</v>
      </c>
    </row>
    <row r="81" spans="1:10" s="268" customFormat="1" ht="45" customHeight="1" thickBot="1" x14ac:dyDescent="0.3">
      <c r="B81" s="1154">
        <v>8</v>
      </c>
      <c r="C81" s="1151" t="s">
        <v>152</v>
      </c>
      <c r="D81" s="1125" t="s">
        <v>14</v>
      </c>
      <c r="E81" s="507" t="s">
        <v>410</v>
      </c>
      <c r="F81" s="508" t="s">
        <v>70</v>
      </c>
      <c r="G81" s="637">
        <f>'اسعار الخامات'!E57</f>
        <v>26.73</v>
      </c>
      <c r="H81" s="510">
        <v>1</v>
      </c>
      <c r="I81" s="638">
        <v>0.05</v>
      </c>
      <c r="J81" s="510">
        <f>H81*G81+(I81*H81*G81)</f>
        <v>28.066500000000001</v>
      </c>
    </row>
    <row r="82" spans="1:10" s="268" customFormat="1" ht="45" customHeight="1" x14ac:dyDescent="0.25">
      <c r="B82" s="1155"/>
      <c r="C82" s="1152"/>
      <c r="D82" s="1126"/>
      <c r="E82" s="1158" t="s">
        <v>311</v>
      </c>
      <c r="F82" s="1161" t="s">
        <v>194</v>
      </c>
      <c r="G82" s="1163">
        <v>3</v>
      </c>
      <c r="H82" s="1165">
        <v>1</v>
      </c>
      <c r="I82" s="640"/>
      <c r="J82" s="1168">
        <f t="shared" ref="J82" si="8">H82*G82+(I82*H82*G82)</f>
        <v>3</v>
      </c>
    </row>
    <row r="83" spans="1:10" s="268" customFormat="1" ht="45" customHeight="1" x14ac:dyDescent="0.25">
      <c r="B83" s="1155"/>
      <c r="C83" s="1152"/>
      <c r="D83" s="1157"/>
      <c r="E83" s="1159"/>
      <c r="F83" s="1162"/>
      <c r="G83" s="1164"/>
      <c r="H83" s="1166"/>
      <c r="I83" s="644"/>
      <c r="J83" s="1166"/>
    </row>
    <row r="84" spans="1:10" s="268" customFormat="1" ht="45" customHeight="1" thickBot="1" x14ac:dyDescent="0.3">
      <c r="B84" s="1156"/>
      <c r="C84" s="1153"/>
      <c r="D84" s="645" t="s">
        <v>11</v>
      </c>
      <c r="E84" s="646" t="s">
        <v>153</v>
      </c>
      <c r="F84" s="647" t="s">
        <v>70</v>
      </c>
      <c r="G84" s="648">
        <f>'اسعار المصنعيات'!D61</f>
        <v>50</v>
      </c>
      <c r="H84" s="649">
        <v>1</v>
      </c>
      <c r="I84" s="650"/>
      <c r="J84" s="649">
        <f>H84*G84+(I84*H84*G84)</f>
        <v>50</v>
      </c>
    </row>
    <row r="85" spans="1:10" s="268" customFormat="1" ht="45" customHeight="1" thickBot="1" x14ac:dyDescent="0.3">
      <c r="B85" s="1114" t="s">
        <v>13</v>
      </c>
      <c r="C85" s="1115"/>
      <c r="D85" s="1115"/>
      <c r="E85" s="1115"/>
      <c r="F85" s="1115"/>
      <c r="G85" s="1115"/>
      <c r="H85" s="1115"/>
      <c r="I85" s="1116"/>
      <c r="J85" s="726">
        <f>SUM(J81:J84)</f>
        <v>81.066500000000005</v>
      </c>
    </row>
    <row r="86" spans="1:10" s="666" customFormat="1" ht="45" customHeight="1" thickBot="1" x14ac:dyDescent="0.3">
      <c r="C86" s="720"/>
      <c r="I86" s="667"/>
      <c r="J86" s="668"/>
    </row>
    <row r="87" spans="1:10" s="615" customFormat="1" ht="57" customHeight="1" thickTop="1" thickBot="1" x14ac:dyDescent="0.55000000000000004">
      <c r="A87" s="612"/>
      <c r="B87" s="631" t="s">
        <v>0</v>
      </c>
      <c r="C87" s="725" t="s">
        <v>1</v>
      </c>
      <c r="D87" s="1149" t="s">
        <v>2</v>
      </c>
      <c r="E87" s="1150"/>
      <c r="F87" s="632" t="s">
        <v>3</v>
      </c>
      <c r="G87" s="632" t="s">
        <v>4</v>
      </c>
      <c r="H87" s="632" t="s">
        <v>5</v>
      </c>
      <c r="I87" s="633" t="s">
        <v>6</v>
      </c>
      <c r="J87" s="634" t="s">
        <v>7</v>
      </c>
    </row>
    <row r="88" spans="1:10" s="268" customFormat="1" ht="45" customHeight="1" x14ac:dyDescent="0.25">
      <c r="B88" s="1154">
        <v>9</v>
      </c>
      <c r="C88" s="1151" t="s">
        <v>315</v>
      </c>
      <c r="D88" s="1136"/>
      <c r="E88" s="707" t="s">
        <v>240</v>
      </c>
      <c r="F88" s="672" t="s">
        <v>70</v>
      </c>
      <c r="G88" s="708">
        <f>'اسعار الخامات'!E58</f>
        <v>10</v>
      </c>
      <c r="H88" s="709">
        <v>1</v>
      </c>
      <c r="I88" s="674">
        <v>0.05</v>
      </c>
      <c r="J88" s="709">
        <f>H88*G88+(I88*H88*G88)</f>
        <v>10.5</v>
      </c>
    </row>
    <row r="89" spans="1:10" s="268" customFormat="1" ht="45" customHeight="1" x14ac:dyDescent="0.25">
      <c r="B89" s="1155"/>
      <c r="C89" s="1152"/>
      <c r="D89" s="1137"/>
      <c r="E89" s="710" t="s">
        <v>241</v>
      </c>
      <c r="F89" s="654" t="s">
        <v>70</v>
      </c>
      <c r="G89" s="711">
        <f>'اسعار الخامات'!E59</f>
        <v>25</v>
      </c>
      <c r="H89" s="581">
        <v>1</v>
      </c>
      <c r="I89" s="655">
        <v>0.05</v>
      </c>
      <c r="J89" s="581">
        <f>H89*G89+(I89*H89*G89)</f>
        <v>26.25</v>
      </c>
    </row>
    <row r="90" spans="1:10" s="268" customFormat="1" ht="45" customHeight="1" x14ac:dyDescent="0.25">
      <c r="B90" s="1155"/>
      <c r="C90" s="1152"/>
      <c r="D90" s="1169"/>
      <c r="E90" s="641" t="s">
        <v>316</v>
      </c>
      <c r="F90" s="642" t="s">
        <v>96</v>
      </c>
      <c r="G90" s="712">
        <v>3</v>
      </c>
      <c r="H90" s="643">
        <v>1</v>
      </c>
      <c r="I90" s="644"/>
      <c r="J90" s="643">
        <f>H90*G90+(I90*H90*G90)</f>
        <v>3</v>
      </c>
    </row>
    <row r="91" spans="1:10" s="268" customFormat="1" ht="45" customHeight="1" thickBot="1" x14ac:dyDescent="0.3">
      <c r="B91" s="1156"/>
      <c r="C91" s="1153"/>
      <c r="D91" s="645" t="s">
        <v>11</v>
      </c>
      <c r="E91" s="646" t="s">
        <v>73</v>
      </c>
      <c r="F91" s="647" t="s">
        <v>70</v>
      </c>
      <c r="G91" s="648">
        <f>'اسعار المصنعيات'!D60</f>
        <v>50</v>
      </c>
      <c r="H91" s="649">
        <v>1</v>
      </c>
      <c r="I91" s="650"/>
      <c r="J91" s="649">
        <f>H91*G91+(I91*H91*G91)</f>
        <v>50</v>
      </c>
    </row>
    <row r="92" spans="1:10" s="268" customFormat="1" ht="45" customHeight="1" thickBot="1" x14ac:dyDescent="0.3">
      <c r="B92" s="1114" t="s">
        <v>13</v>
      </c>
      <c r="C92" s="1115"/>
      <c r="D92" s="1115"/>
      <c r="E92" s="1115"/>
      <c r="F92" s="1115"/>
      <c r="G92" s="1115"/>
      <c r="H92" s="1115"/>
      <c r="I92" s="1116"/>
      <c r="J92" s="726">
        <f>SUM(J88:J91)</f>
        <v>89.75</v>
      </c>
    </row>
    <row r="93" spans="1:10" s="268" customFormat="1" ht="45" customHeight="1" thickBot="1" x14ac:dyDescent="0.3">
      <c r="B93" s="498"/>
      <c r="C93" s="722"/>
      <c r="D93" s="471"/>
      <c r="F93" s="269"/>
      <c r="G93" s="269"/>
      <c r="H93" s="270"/>
      <c r="I93" s="704"/>
    </row>
    <row r="94" spans="1:10" s="615" customFormat="1" ht="57" customHeight="1" thickTop="1" thickBot="1" x14ac:dyDescent="0.55000000000000004">
      <c r="A94" s="612"/>
      <c r="B94" s="631" t="s">
        <v>0</v>
      </c>
      <c r="C94" s="725" t="s">
        <v>1</v>
      </c>
      <c r="D94" s="1149" t="s">
        <v>2</v>
      </c>
      <c r="E94" s="1150"/>
      <c r="F94" s="632" t="s">
        <v>3</v>
      </c>
      <c r="G94" s="632" t="s">
        <v>4</v>
      </c>
      <c r="H94" s="632" t="s">
        <v>5</v>
      </c>
      <c r="I94" s="633" t="s">
        <v>6</v>
      </c>
      <c r="J94" s="634" t="s">
        <v>7</v>
      </c>
    </row>
    <row r="95" spans="1:10" s="268" customFormat="1" ht="45" customHeight="1" x14ac:dyDescent="0.25">
      <c r="B95" s="1154">
        <v>10</v>
      </c>
      <c r="C95" s="1151" t="s">
        <v>426</v>
      </c>
      <c r="D95" s="1125" t="s">
        <v>14</v>
      </c>
      <c r="E95" s="507" t="s">
        <v>119</v>
      </c>
      <c r="F95" s="508" t="s">
        <v>59</v>
      </c>
      <c r="G95" s="637">
        <f>'اسعار الخامات'!E65</f>
        <v>5.85</v>
      </c>
      <c r="H95" s="510">
        <v>1</v>
      </c>
      <c r="I95" s="638">
        <v>0.05</v>
      </c>
      <c r="J95" s="510">
        <f>H95*G95+(I95*H95*G95)</f>
        <v>6.1425000000000001</v>
      </c>
    </row>
    <row r="96" spans="1:10" s="268" customFormat="1" ht="45" customHeight="1" x14ac:dyDescent="0.25">
      <c r="B96" s="1155"/>
      <c r="C96" s="1152"/>
      <c r="D96" s="1160"/>
      <c r="E96" s="653" t="s">
        <v>120</v>
      </c>
      <c r="F96" s="654" t="s">
        <v>96</v>
      </c>
      <c r="G96" s="713">
        <f>G95*0.35</f>
        <v>2.0474999999999999</v>
      </c>
      <c r="H96" s="581">
        <v>1</v>
      </c>
      <c r="I96" s="655">
        <v>0.05</v>
      </c>
      <c r="J96" s="581">
        <f>H96*G96+(I96*H96*G96)</f>
        <v>2.1498749999999998</v>
      </c>
    </row>
    <row r="97" spans="1:10" s="268" customFormat="1" ht="45" customHeight="1" thickBot="1" x14ac:dyDescent="0.3">
      <c r="B97" s="1156"/>
      <c r="C97" s="1153"/>
      <c r="D97" s="660" t="s">
        <v>11</v>
      </c>
      <c r="E97" s="661" t="s">
        <v>122</v>
      </c>
      <c r="F97" s="662" t="s">
        <v>70</v>
      </c>
      <c r="G97" s="663">
        <f>'اسعار المصنعيات'!D61</f>
        <v>50</v>
      </c>
      <c r="H97" s="664">
        <v>1</v>
      </c>
      <c r="I97" s="665"/>
      <c r="J97" s="664">
        <f>H97*G97+(I97*H97*G97)</f>
        <v>50</v>
      </c>
    </row>
    <row r="98" spans="1:10" s="268" customFormat="1" ht="45" customHeight="1" thickBot="1" x14ac:dyDescent="0.3">
      <c r="B98" s="1114" t="s">
        <v>13</v>
      </c>
      <c r="C98" s="1115"/>
      <c r="D98" s="1115"/>
      <c r="E98" s="1115"/>
      <c r="F98" s="1115"/>
      <c r="G98" s="1115"/>
      <c r="H98" s="1115"/>
      <c r="I98" s="1116"/>
      <c r="J98" s="726">
        <f>SUM(J95:J97)</f>
        <v>58.292375</v>
      </c>
    </row>
    <row r="99" spans="1:10" s="666" customFormat="1" ht="45" customHeight="1" thickBot="1" x14ac:dyDescent="0.3">
      <c r="B99" s="598"/>
      <c r="C99" s="719"/>
      <c r="D99" s="598"/>
      <c r="E99" s="598"/>
      <c r="F99" s="598"/>
      <c r="G99" s="598"/>
      <c r="H99" s="598"/>
      <c r="I99" s="651"/>
      <c r="J99" s="652"/>
    </row>
    <row r="100" spans="1:10" s="615" customFormat="1" ht="57" customHeight="1" thickTop="1" thickBot="1" x14ac:dyDescent="0.55000000000000004">
      <c r="A100" s="612"/>
      <c r="B100" s="631" t="s">
        <v>0</v>
      </c>
      <c r="C100" s="725" t="s">
        <v>1</v>
      </c>
      <c r="D100" s="1149" t="s">
        <v>2</v>
      </c>
      <c r="E100" s="1150"/>
      <c r="F100" s="632" t="s">
        <v>3</v>
      </c>
      <c r="G100" s="632" t="s">
        <v>4</v>
      </c>
      <c r="H100" s="632" t="s">
        <v>5</v>
      </c>
      <c r="I100" s="633" t="s">
        <v>6</v>
      </c>
      <c r="J100" s="634" t="s">
        <v>7</v>
      </c>
    </row>
    <row r="101" spans="1:10" s="268" customFormat="1" ht="45" customHeight="1" x14ac:dyDescent="0.25">
      <c r="B101" s="1154">
        <v>10</v>
      </c>
      <c r="C101" s="1151" t="s">
        <v>124</v>
      </c>
      <c r="D101" s="1125" t="s">
        <v>14</v>
      </c>
      <c r="E101" s="507" t="s">
        <v>119</v>
      </c>
      <c r="F101" s="508" t="s">
        <v>59</v>
      </c>
      <c r="G101" s="637">
        <f>'اسعار الخامات'!E66</f>
        <v>9.5</v>
      </c>
      <c r="H101" s="510">
        <v>1</v>
      </c>
      <c r="I101" s="638">
        <v>0.05</v>
      </c>
      <c r="J101" s="510">
        <f>H101*G101+(I101*H101*G101)</f>
        <v>9.9749999999999996</v>
      </c>
    </row>
    <row r="102" spans="1:10" s="268" customFormat="1" ht="45" customHeight="1" x14ac:dyDescent="0.25">
      <c r="B102" s="1155"/>
      <c r="C102" s="1152"/>
      <c r="D102" s="1160"/>
      <c r="E102" s="653" t="s">
        <v>120</v>
      </c>
      <c r="F102" s="654" t="s">
        <v>96</v>
      </c>
      <c r="G102" s="713">
        <f>G101*0.35</f>
        <v>3.3249999999999997</v>
      </c>
      <c r="H102" s="581">
        <v>1</v>
      </c>
      <c r="I102" s="655">
        <v>0.05</v>
      </c>
      <c r="J102" s="581">
        <f>H102*G102+(I102*H102*G102)</f>
        <v>3.49125</v>
      </c>
    </row>
    <row r="103" spans="1:10" s="268" customFormat="1" ht="45" customHeight="1" thickBot="1" x14ac:dyDescent="0.3">
      <c r="B103" s="1156"/>
      <c r="C103" s="1153"/>
      <c r="D103" s="660" t="s">
        <v>11</v>
      </c>
      <c r="E103" s="661" t="s">
        <v>122</v>
      </c>
      <c r="F103" s="662" t="s">
        <v>70</v>
      </c>
      <c r="G103" s="663">
        <f>'اسعار المصنعيات'!D66</f>
        <v>6</v>
      </c>
      <c r="H103" s="664">
        <v>1</v>
      </c>
      <c r="I103" s="665"/>
      <c r="J103" s="664">
        <f>H103*G103+(I103*H103*G103)</f>
        <v>6</v>
      </c>
    </row>
    <row r="104" spans="1:10" s="268" customFormat="1" ht="45" customHeight="1" thickBot="1" x14ac:dyDescent="0.3">
      <c r="B104" s="1114" t="s">
        <v>13</v>
      </c>
      <c r="C104" s="1115"/>
      <c r="D104" s="1115"/>
      <c r="E104" s="1115"/>
      <c r="F104" s="1115"/>
      <c r="G104" s="1115"/>
      <c r="H104" s="1115"/>
      <c r="I104" s="1116"/>
      <c r="J104" s="726">
        <f>SUM(J101:J103)</f>
        <v>19.466249999999999</v>
      </c>
    </row>
    <row r="105" spans="1:10" s="666" customFormat="1" ht="45" customHeight="1" thickBot="1" x14ac:dyDescent="0.3">
      <c r="B105" s="598"/>
      <c r="C105" s="719"/>
      <c r="D105" s="598"/>
      <c r="E105" s="598"/>
      <c r="F105" s="598"/>
      <c r="G105" s="598"/>
      <c r="H105" s="598"/>
      <c r="I105" s="651"/>
      <c r="J105" s="652"/>
    </row>
    <row r="106" spans="1:10" s="615" customFormat="1" ht="57" customHeight="1" thickTop="1" thickBot="1" x14ac:dyDescent="0.55000000000000004">
      <c r="A106" s="612"/>
      <c r="B106" s="631" t="s">
        <v>0</v>
      </c>
      <c r="C106" s="725" t="s">
        <v>1</v>
      </c>
      <c r="D106" s="1149" t="s">
        <v>2</v>
      </c>
      <c r="E106" s="1150"/>
      <c r="F106" s="632" t="s">
        <v>3</v>
      </c>
      <c r="G106" s="632" t="s">
        <v>4</v>
      </c>
      <c r="H106" s="632" t="s">
        <v>5</v>
      </c>
      <c r="I106" s="633" t="s">
        <v>6</v>
      </c>
      <c r="J106" s="634" t="s">
        <v>7</v>
      </c>
    </row>
    <row r="107" spans="1:10" s="268" customFormat="1" ht="45" customHeight="1" x14ac:dyDescent="0.25">
      <c r="B107" s="1154">
        <v>11</v>
      </c>
      <c r="C107" s="1151" t="s">
        <v>139</v>
      </c>
      <c r="D107" s="1125" t="s">
        <v>14</v>
      </c>
      <c r="E107" s="507" t="s">
        <v>119</v>
      </c>
      <c r="F107" s="508" t="s">
        <v>59</v>
      </c>
      <c r="G107" s="637">
        <f>'اسعار الخامات'!E68</f>
        <v>12.6</v>
      </c>
      <c r="H107" s="510">
        <v>1</v>
      </c>
      <c r="I107" s="638">
        <v>0.05</v>
      </c>
      <c r="J107" s="510">
        <f>H107*G107+(I107*H107*G107)</f>
        <v>13.23</v>
      </c>
    </row>
    <row r="108" spans="1:10" s="268" customFormat="1" ht="45" customHeight="1" x14ac:dyDescent="0.25">
      <c r="B108" s="1155"/>
      <c r="C108" s="1152"/>
      <c r="D108" s="1126"/>
      <c r="E108" s="517" t="s">
        <v>120</v>
      </c>
      <c r="F108" s="518" t="s">
        <v>96</v>
      </c>
      <c r="G108" s="687">
        <f>G107*0.35</f>
        <v>4.4099999999999993</v>
      </c>
      <c r="H108" s="520">
        <v>1</v>
      </c>
      <c r="I108" s="640">
        <v>0.05</v>
      </c>
      <c r="J108" s="520">
        <f>H108*G108+(I108*H108*G108)</f>
        <v>4.6304999999999996</v>
      </c>
    </row>
    <row r="109" spans="1:10" s="268" customFormat="1" ht="45" customHeight="1" thickBot="1" x14ac:dyDescent="0.3">
      <c r="B109" s="1156"/>
      <c r="C109" s="1153"/>
      <c r="D109" s="660" t="s">
        <v>11</v>
      </c>
      <c r="E109" s="661" t="s">
        <v>122</v>
      </c>
      <c r="F109" s="662" t="s">
        <v>70</v>
      </c>
      <c r="G109" s="663">
        <f>'اسعار المصنعيات'!D68</f>
        <v>10</v>
      </c>
      <c r="H109" s="664">
        <v>1</v>
      </c>
      <c r="I109" s="665"/>
      <c r="J109" s="664">
        <f>H109*G109+(I109*H109*G109)</f>
        <v>10</v>
      </c>
    </row>
    <row r="110" spans="1:10" s="268" customFormat="1" ht="45" customHeight="1" thickBot="1" x14ac:dyDescent="0.3">
      <c r="B110" s="1114" t="s">
        <v>13</v>
      </c>
      <c r="C110" s="1115"/>
      <c r="D110" s="1115"/>
      <c r="E110" s="1115"/>
      <c r="F110" s="1115"/>
      <c r="G110" s="1115"/>
      <c r="H110" s="1115"/>
      <c r="I110" s="1116"/>
      <c r="J110" s="726">
        <f>SUM(J107:J109)</f>
        <v>27.860500000000002</v>
      </c>
    </row>
    <row r="111" spans="1:10" s="502" customFormat="1" ht="45" customHeight="1" thickBot="1" x14ac:dyDescent="0.3">
      <c r="A111" s="714"/>
      <c r="B111" s="715"/>
      <c r="C111" s="723"/>
      <c r="D111" s="716"/>
      <c r="E111" s="716"/>
      <c r="F111" s="716"/>
      <c r="G111" s="716"/>
      <c r="H111" s="716"/>
      <c r="I111" s="717"/>
      <c r="J111" s="718"/>
    </row>
    <row r="112" spans="1:10" s="615" customFormat="1" ht="57" customHeight="1" thickTop="1" thickBot="1" x14ac:dyDescent="0.55000000000000004">
      <c r="A112" s="612"/>
      <c r="B112" s="631" t="s">
        <v>0</v>
      </c>
      <c r="C112" s="725" t="s">
        <v>1</v>
      </c>
      <c r="D112" s="1149" t="s">
        <v>2</v>
      </c>
      <c r="E112" s="1150"/>
      <c r="F112" s="632" t="s">
        <v>3</v>
      </c>
      <c r="G112" s="632" t="s">
        <v>4</v>
      </c>
      <c r="H112" s="632" t="s">
        <v>5</v>
      </c>
      <c r="I112" s="633" t="s">
        <v>6</v>
      </c>
      <c r="J112" s="634" t="s">
        <v>7</v>
      </c>
    </row>
    <row r="113" spans="1:10" s="268" customFormat="1" ht="45" customHeight="1" x14ac:dyDescent="0.25">
      <c r="B113" s="1154">
        <v>12</v>
      </c>
      <c r="C113" s="1151" t="s">
        <v>123</v>
      </c>
      <c r="D113" s="1125" t="s">
        <v>14</v>
      </c>
      <c r="E113" s="507" t="s">
        <v>119</v>
      </c>
      <c r="F113" s="508" t="s">
        <v>59</v>
      </c>
      <c r="G113" s="637">
        <f>'اسعار الخامات'!E69</f>
        <v>18</v>
      </c>
      <c r="H113" s="510">
        <v>1</v>
      </c>
      <c r="I113" s="638">
        <v>0.05</v>
      </c>
      <c r="J113" s="510">
        <f>H113*G113+(I113*H113*G113)</f>
        <v>18.899999999999999</v>
      </c>
    </row>
    <row r="114" spans="1:10" s="268" customFormat="1" ht="45" customHeight="1" x14ac:dyDescent="0.25">
      <c r="B114" s="1155"/>
      <c r="C114" s="1152"/>
      <c r="D114" s="1126"/>
      <c r="E114" s="517" t="s">
        <v>120</v>
      </c>
      <c r="F114" s="518" t="s">
        <v>96</v>
      </c>
      <c r="G114" s="687">
        <f>G113*0.35</f>
        <v>6.3</v>
      </c>
      <c r="H114" s="520">
        <v>1</v>
      </c>
      <c r="I114" s="640"/>
      <c r="J114" s="520">
        <f>H114*G114+(I114*H114*G114)</f>
        <v>6.3</v>
      </c>
    </row>
    <row r="115" spans="1:10" s="268" customFormat="1" ht="45" customHeight="1" x14ac:dyDescent="0.25">
      <c r="B115" s="1155"/>
      <c r="C115" s="1152"/>
      <c r="D115" s="1160"/>
      <c r="E115" s="653" t="s">
        <v>121</v>
      </c>
      <c r="F115" s="654" t="s">
        <v>70</v>
      </c>
      <c r="G115" s="654">
        <v>5</v>
      </c>
      <c r="H115" s="581">
        <v>1</v>
      </c>
      <c r="I115" s="655"/>
      <c r="J115" s="581">
        <f>H115*G115+(I115*H115*G115)</f>
        <v>5</v>
      </c>
    </row>
    <row r="116" spans="1:10" s="268" customFormat="1" ht="45" customHeight="1" thickBot="1" x14ac:dyDescent="0.3">
      <c r="B116" s="1156"/>
      <c r="C116" s="1153"/>
      <c r="D116" s="660" t="s">
        <v>11</v>
      </c>
      <c r="E116" s="661" t="s">
        <v>122</v>
      </c>
      <c r="F116" s="662" t="s">
        <v>70</v>
      </c>
      <c r="G116" s="663">
        <f>'اسعار المصنعيات'!D69</f>
        <v>10</v>
      </c>
      <c r="H116" s="664">
        <v>1</v>
      </c>
      <c r="I116" s="665"/>
      <c r="J116" s="664">
        <f>H116*G116+(I116*H116*G116)</f>
        <v>10</v>
      </c>
    </row>
    <row r="117" spans="1:10" s="268" customFormat="1" ht="45" customHeight="1" thickBot="1" x14ac:dyDescent="0.3">
      <c r="B117" s="1114" t="s">
        <v>13</v>
      </c>
      <c r="C117" s="1115"/>
      <c r="D117" s="1115"/>
      <c r="E117" s="1115"/>
      <c r="F117" s="1115"/>
      <c r="G117" s="1115"/>
      <c r="H117" s="1115"/>
      <c r="I117" s="1116"/>
      <c r="J117" s="726">
        <f>SUM(J113:J116)</f>
        <v>40.200000000000003</v>
      </c>
    </row>
    <row r="118" spans="1:10" s="471" customFormat="1" ht="45" customHeight="1" thickBot="1" x14ac:dyDescent="0.3">
      <c r="B118" s="597"/>
      <c r="C118" s="719"/>
      <c r="D118" s="598"/>
      <c r="E118" s="598"/>
      <c r="F118" s="598"/>
      <c r="G118" s="598"/>
      <c r="H118" s="598"/>
      <c r="I118" s="651"/>
      <c r="J118" s="652"/>
    </row>
    <row r="119" spans="1:10" s="615" customFormat="1" ht="57" customHeight="1" thickTop="1" thickBot="1" x14ac:dyDescent="0.55000000000000004">
      <c r="A119" s="612"/>
      <c r="B119" s="631" t="s">
        <v>0</v>
      </c>
      <c r="C119" s="725" t="s">
        <v>1</v>
      </c>
      <c r="D119" s="1149" t="s">
        <v>2</v>
      </c>
      <c r="E119" s="1150"/>
      <c r="F119" s="632" t="s">
        <v>3</v>
      </c>
      <c r="G119" s="632" t="s">
        <v>4</v>
      </c>
      <c r="H119" s="632" t="s">
        <v>5</v>
      </c>
      <c r="I119" s="633" t="s">
        <v>6</v>
      </c>
      <c r="J119" s="634" t="s">
        <v>7</v>
      </c>
    </row>
    <row r="120" spans="1:10" s="268" customFormat="1" ht="45" customHeight="1" x14ac:dyDescent="0.25">
      <c r="B120" s="1154">
        <v>13</v>
      </c>
      <c r="C120" s="1151" t="s">
        <v>118</v>
      </c>
      <c r="D120" s="1125" t="s">
        <v>14</v>
      </c>
      <c r="E120" s="507" t="s">
        <v>119</v>
      </c>
      <c r="F120" s="508" t="s">
        <v>59</v>
      </c>
      <c r="G120" s="637">
        <f>'اسعار الخامات'!E70</f>
        <v>24</v>
      </c>
      <c r="H120" s="510">
        <v>1</v>
      </c>
      <c r="I120" s="638">
        <v>0.05</v>
      </c>
      <c r="J120" s="510">
        <f>H120*G120+(I120*H120*G120)</f>
        <v>25.2</v>
      </c>
    </row>
    <row r="121" spans="1:10" s="268" customFormat="1" ht="45" customHeight="1" x14ac:dyDescent="0.25">
      <c r="B121" s="1155"/>
      <c r="C121" s="1152"/>
      <c r="D121" s="1126"/>
      <c r="E121" s="517" t="s">
        <v>120</v>
      </c>
      <c r="F121" s="518" t="s">
        <v>96</v>
      </c>
      <c r="G121" s="687">
        <f>G120*0.35</f>
        <v>8.3999999999999986</v>
      </c>
      <c r="H121" s="520">
        <v>1</v>
      </c>
      <c r="I121" s="640"/>
      <c r="J121" s="520">
        <f>H121*G121+(I121*H121*G121)</f>
        <v>8.3999999999999986</v>
      </c>
    </row>
    <row r="122" spans="1:10" s="268" customFormat="1" ht="45" customHeight="1" x14ac:dyDescent="0.25">
      <c r="B122" s="1155"/>
      <c r="C122" s="1152"/>
      <c r="D122" s="1157"/>
      <c r="E122" s="641" t="s">
        <v>121</v>
      </c>
      <c r="F122" s="642" t="s">
        <v>70</v>
      </c>
      <c r="G122" s="642">
        <v>5</v>
      </c>
      <c r="H122" s="643">
        <v>1</v>
      </c>
      <c r="I122" s="644"/>
      <c r="J122" s="643">
        <f>H122*G122+(I122*H122*G122)</f>
        <v>5</v>
      </c>
    </row>
    <row r="123" spans="1:10" s="268" customFormat="1" ht="45" customHeight="1" thickBot="1" x14ac:dyDescent="0.3">
      <c r="B123" s="1156"/>
      <c r="C123" s="727" t="s">
        <v>239</v>
      </c>
      <c r="D123" s="645" t="s">
        <v>11</v>
      </c>
      <c r="E123" s="646" t="s">
        <v>122</v>
      </c>
      <c r="F123" s="647" t="s">
        <v>70</v>
      </c>
      <c r="G123" s="648">
        <f>'اسعار المصنعيات'!D70</f>
        <v>12</v>
      </c>
      <c r="H123" s="649">
        <v>1</v>
      </c>
      <c r="I123" s="650"/>
      <c r="J123" s="649">
        <f>H123*G123+(I123*H123*G123)</f>
        <v>12</v>
      </c>
    </row>
    <row r="124" spans="1:10" s="268" customFormat="1" ht="45" customHeight="1" thickBot="1" x14ac:dyDescent="0.3">
      <c r="B124" s="1114" t="s">
        <v>13</v>
      </c>
      <c r="C124" s="1115"/>
      <c r="D124" s="1115"/>
      <c r="E124" s="1115"/>
      <c r="F124" s="1115"/>
      <c r="G124" s="1115"/>
      <c r="H124" s="1115"/>
      <c r="I124" s="1116"/>
      <c r="J124" s="726">
        <f>SUM(J120:J123)</f>
        <v>50.599999999999994</v>
      </c>
    </row>
    <row r="125" spans="1:10" s="471" customFormat="1" ht="45" customHeight="1" thickBot="1" x14ac:dyDescent="0.3">
      <c r="B125" s="597"/>
      <c r="C125" s="719"/>
      <c r="D125" s="598"/>
      <c r="E125" s="598"/>
      <c r="F125" s="598"/>
      <c r="G125" s="598"/>
      <c r="H125" s="598"/>
      <c r="I125" s="651"/>
      <c r="J125" s="652"/>
    </row>
    <row r="126" spans="1:10" s="615" customFormat="1" ht="57" customHeight="1" thickTop="1" thickBot="1" x14ac:dyDescent="0.55000000000000004">
      <c r="A126" s="612"/>
      <c r="B126" s="631" t="s">
        <v>0</v>
      </c>
      <c r="C126" s="725" t="s">
        <v>1</v>
      </c>
      <c r="D126" s="1149" t="s">
        <v>2</v>
      </c>
      <c r="E126" s="1150"/>
      <c r="F126" s="632" t="s">
        <v>3</v>
      </c>
      <c r="G126" s="632" t="s">
        <v>4</v>
      </c>
      <c r="H126" s="632" t="s">
        <v>5</v>
      </c>
      <c r="I126" s="633" t="s">
        <v>6</v>
      </c>
      <c r="J126" s="634" t="s">
        <v>7</v>
      </c>
    </row>
    <row r="127" spans="1:10" s="268" customFormat="1" ht="45" customHeight="1" x14ac:dyDescent="0.25">
      <c r="B127" s="1154">
        <v>14</v>
      </c>
      <c r="C127" s="1151" t="s">
        <v>118</v>
      </c>
      <c r="D127" s="1125" t="s">
        <v>14</v>
      </c>
      <c r="E127" s="507" t="s">
        <v>119</v>
      </c>
      <c r="F127" s="508" t="s">
        <v>59</v>
      </c>
      <c r="G127" s="637">
        <f>'اسعار الخامات'!E72</f>
        <v>28.51</v>
      </c>
      <c r="H127" s="510">
        <v>1</v>
      </c>
      <c r="I127" s="638">
        <v>0.05</v>
      </c>
      <c r="J127" s="510">
        <f>H127*G127+(I127*H127*G127)</f>
        <v>29.935500000000001</v>
      </c>
    </row>
    <row r="128" spans="1:10" s="268" customFormat="1" ht="45" customHeight="1" x14ac:dyDescent="0.25">
      <c r="B128" s="1155"/>
      <c r="C128" s="1152"/>
      <c r="D128" s="1126"/>
      <c r="E128" s="1158" t="s">
        <v>151</v>
      </c>
      <c r="F128" s="1161" t="s">
        <v>96</v>
      </c>
      <c r="G128" s="1163">
        <v>26</v>
      </c>
      <c r="H128" s="1165">
        <v>1</v>
      </c>
      <c r="I128" s="640"/>
      <c r="J128" s="1165">
        <f>H128*G128+(I128*H128*G128)</f>
        <v>26</v>
      </c>
    </row>
    <row r="129" spans="1:10" s="268" customFormat="1" ht="45" customHeight="1" x14ac:dyDescent="0.25">
      <c r="B129" s="1155"/>
      <c r="C129" s="1152"/>
      <c r="D129" s="1157"/>
      <c r="E129" s="1159"/>
      <c r="F129" s="1162"/>
      <c r="G129" s="1164"/>
      <c r="H129" s="1166"/>
      <c r="I129" s="644"/>
      <c r="J129" s="1166"/>
    </row>
    <row r="130" spans="1:10" s="268" customFormat="1" ht="45" customHeight="1" thickBot="1" x14ac:dyDescent="0.3">
      <c r="B130" s="1156"/>
      <c r="C130" s="727" t="s">
        <v>138</v>
      </c>
      <c r="D130" s="645" t="s">
        <v>11</v>
      </c>
      <c r="E130" s="646" t="s">
        <v>122</v>
      </c>
      <c r="F130" s="647" t="s">
        <v>70</v>
      </c>
      <c r="G130" s="648">
        <f>'اسعار المصنعيات'!D72</f>
        <v>15</v>
      </c>
      <c r="H130" s="649">
        <v>1</v>
      </c>
      <c r="I130" s="650"/>
      <c r="J130" s="649">
        <f>H130*G130+(I130*H130*G130)</f>
        <v>15</v>
      </c>
    </row>
    <row r="131" spans="1:10" s="268" customFormat="1" ht="45" customHeight="1" thickBot="1" x14ac:dyDescent="0.3">
      <c r="B131" s="1114" t="s">
        <v>13</v>
      </c>
      <c r="C131" s="1115"/>
      <c r="D131" s="1115"/>
      <c r="E131" s="1115"/>
      <c r="F131" s="1115"/>
      <c r="G131" s="1115"/>
      <c r="H131" s="1115"/>
      <c r="I131" s="1116"/>
      <c r="J131" s="726">
        <f>SUM(J127:J130)</f>
        <v>70.935500000000005</v>
      </c>
    </row>
    <row r="132" spans="1:10" s="268" customFormat="1" ht="45" customHeight="1" thickBot="1" x14ac:dyDescent="0.3">
      <c r="B132" s="498"/>
      <c r="C132" s="722"/>
      <c r="D132" s="471"/>
      <c r="F132" s="269"/>
      <c r="G132" s="269"/>
      <c r="H132" s="270"/>
      <c r="I132" s="704"/>
    </row>
    <row r="133" spans="1:10" s="615" customFormat="1" ht="57" customHeight="1" thickTop="1" thickBot="1" x14ac:dyDescent="0.55000000000000004">
      <c r="A133" s="612"/>
      <c r="B133" s="631" t="s">
        <v>0</v>
      </c>
      <c r="C133" s="725" t="s">
        <v>1</v>
      </c>
      <c r="D133" s="1149" t="s">
        <v>2</v>
      </c>
      <c r="E133" s="1150"/>
      <c r="F133" s="632" t="s">
        <v>3</v>
      </c>
      <c r="G133" s="632" t="s">
        <v>4</v>
      </c>
      <c r="H133" s="632" t="s">
        <v>5</v>
      </c>
      <c r="I133" s="633" t="s">
        <v>6</v>
      </c>
      <c r="J133" s="634" t="s">
        <v>7</v>
      </c>
    </row>
    <row r="134" spans="1:10" s="268" customFormat="1" ht="45" customHeight="1" x14ac:dyDescent="0.25">
      <c r="B134" s="1154">
        <v>15</v>
      </c>
      <c r="C134" s="1151" t="s">
        <v>312</v>
      </c>
      <c r="D134" s="1125" t="s">
        <v>14</v>
      </c>
      <c r="E134" s="507" t="s">
        <v>119</v>
      </c>
      <c r="F134" s="508" t="s">
        <v>59</v>
      </c>
      <c r="G134" s="637">
        <f>'اسعار الخامات'!E73</f>
        <v>45.66</v>
      </c>
      <c r="H134" s="510">
        <v>1</v>
      </c>
      <c r="I134" s="638"/>
      <c r="J134" s="510">
        <f>H134*G134+(I134*H134*G134)</f>
        <v>45.66</v>
      </c>
    </row>
    <row r="135" spans="1:10" s="268" customFormat="1" ht="45" customHeight="1" x14ac:dyDescent="0.25">
      <c r="B135" s="1155"/>
      <c r="C135" s="1152"/>
      <c r="D135" s="1126"/>
      <c r="E135" s="1158" t="s">
        <v>151</v>
      </c>
      <c r="F135" s="1161" t="s">
        <v>96</v>
      </c>
      <c r="G135" s="1163">
        <v>26</v>
      </c>
      <c r="H135" s="1165">
        <v>1</v>
      </c>
      <c r="I135" s="640"/>
      <c r="J135" s="1165">
        <f>H135*G135+(I135*H135*G135)</f>
        <v>26</v>
      </c>
    </row>
    <row r="136" spans="1:10" s="268" customFormat="1" ht="45" customHeight="1" x14ac:dyDescent="0.25">
      <c r="B136" s="1155"/>
      <c r="C136" s="1152"/>
      <c r="D136" s="1157"/>
      <c r="E136" s="1159"/>
      <c r="F136" s="1162"/>
      <c r="G136" s="1164"/>
      <c r="H136" s="1166"/>
      <c r="I136" s="644"/>
      <c r="J136" s="1166"/>
    </row>
    <row r="137" spans="1:10" s="268" customFormat="1" ht="45" customHeight="1" thickBot="1" x14ac:dyDescent="0.3">
      <c r="B137" s="1156"/>
      <c r="C137" s="727" t="s">
        <v>138</v>
      </c>
      <c r="D137" s="645" t="s">
        <v>11</v>
      </c>
      <c r="E137" s="646" t="s">
        <v>122</v>
      </c>
      <c r="F137" s="647" t="s">
        <v>70</v>
      </c>
      <c r="G137" s="648">
        <f>'اسعار المصنعيات'!D73</f>
        <v>18</v>
      </c>
      <c r="H137" s="649">
        <v>1</v>
      </c>
      <c r="I137" s="650"/>
      <c r="J137" s="649">
        <f>H137*G137+(I137*H137*G137)</f>
        <v>18</v>
      </c>
    </row>
    <row r="138" spans="1:10" s="268" customFormat="1" ht="45" customHeight="1" thickBot="1" x14ac:dyDescent="0.3">
      <c r="B138" s="1114" t="s">
        <v>13</v>
      </c>
      <c r="C138" s="1115"/>
      <c r="D138" s="1115"/>
      <c r="E138" s="1115"/>
      <c r="F138" s="1115"/>
      <c r="G138" s="1115"/>
      <c r="H138" s="1115"/>
      <c r="I138" s="1116"/>
      <c r="J138" s="726">
        <f>SUM(J134:J137)</f>
        <v>89.66</v>
      </c>
    </row>
    <row r="139" spans="1:10" s="268" customFormat="1" ht="45" customHeight="1" thickBot="1" x14ac:dyDescent="0.3">
      <c r="B139" s="498"/>
      <c r="C139" s="722"/>
      <c r="D139" s="471"/>
      <c r="F139" s="269"/>
      <c r="G139" s="269"/>
      <c r="H139" s="270"/>
      <c r="I139" s="704"/>
    </row>
    <row r="140" spans="1:10" s="615" customFormat="1" ht="57" customHeight="1" thickTop="1" thickBot="1" x14ac:dyDescent="0.55000000000000004">
      <c r="A140" s="612"/>
      <c r="B140" s="631" t="s">
        <v>0</v>
      </c>
      <c r="C140" s="725" t="s">
        <v>1</v>
      </c>
      <c r="D140" s="1149" t="s">
        <v>2</v>
      </c>
      <c r="E140" s="1150"/>
      <c r="F140" s="632" t="s">
        <v>3</v>
      </c>
      <c r="G140" s="632" t="s">
        <v>4</v>
      </c>
      <c r="H140" s="632" t="s">
        <v>5</v>
      </c>
      <c r="I140" s="633" t="s">
        <v>6</v>
      </c>
      <c r="J140" s="634" t="s">
        <v>7</v>
      </c>
    </row>
    <row r="141" spans="1:10" s="268" customFormat="1" ht="45" customHeight="1" x14ac:dyDescent="0.25">
      <c r="B141" s="1154">
        <v>16</v>
      </c>
      <c r="C141" s="1151" t="s">
        <v>149</v>
      </c>
      <c r="D141" s="1125" t="s">
        <v>14</v>
      </c>
      <c r="E141" s="507" t="s">
        <v>119</v>
      </c>
      <c r="F141" s="508" t="s">
        <v>59</v>
      </c>
      <c r="G141" s="637">
        <f>'اسعار الخامات'!E74</f>
        <v>59.75</v>
      </c>
      <c r="H141" s="510">
        <v>1</v>
      </c>
      <c r="I141" s="638"/>
      <c r="J141" s="510">
        <f>H141*G141+(I141*H141*G141)</f>
        <v>59.75</v>
      </c>
    </row>
    <row r="142" spans="1:10" s="268" customFormat="1" ht="45" customHeight="1" x14ac:dyDescent="0.25">
      <c r="B142" s="1155"/>
      <c r="C142" s="1152"/>
      <c r="D142" s="1126"/>
      <c r="E142" s="1158" t="s">
        <v>151</v>
      </c>
      <c r="F142" s="1161" t="s">
        <v>96</v>
      </c>
      <c r="G142" s="1163">
        <v>26</v>
      </c>
      <c r="H142" s="1165">
        <v>1</v>
      </c>
      <c r="I142" s="640"/>
      <c r="J142" s="1165">
        <f>H142*G142+(I142*H142*G142)</f>
        <v>26</v>
      </c>
    </row>
    <row r="143" spans="1:10" s="268" customFormat="1" ht="45" customHeight="1" x14ac:dyDescent="0.25">
      <c r="B143" s="1155"/>
      <c r="C143" s="1152"/>
      <c r="D143" s="1157"/>
      <c r="E143" s="1159"/>
      <c r="F143" s="1162"/>
      <c r="G143" s="1164"/>
      <c r="H143" s="1166"/>
      <c r="I143" s="644"/>
      <c r="J143" s="1166"/>
    </row>
    <row r="144" spans="1:10" s="268" customFormat="1" ht="45" customHeight="1" thickBot="1" x14ac:dyDescent="0.3">
      <c r="B144" s="1156"/>
      <c r="C144" s="727" t="s">
        <v>138</v>
      </c>
      <c r="D144" s="645" t="s">
        <v>11</v>
      </c>
      <c r="E144" s="646" t="s">
        <v>122</v>
      </c>
      <c r="F144" s="647" t="s">
        <v>70</v>
      </c>
      <c r="G144" s="648">
        <f>'اسعار المصنعيات'!D73</f>
        <v>18</v>
      </c>
      <c r="H144" s="649">
        <v>1</v>
      </c>
      <c r="I144" s="650"/>
      <c r="J144" s="649">
        <f>H144*G144+(I144*H144*G144)</f>
        <v>18</v>
      </c>
    </row>
    <row r="145" spans="1:10" s="268" customFormat="1" ht="45" customHeight="1" thickBot="1" x14ac:dyDescent="0.3">
      <c r="B145" s="1114" t="s">
        <v>13</v>
      </c>
      <c r="C145" s="1115"/>
      <c r="D145" s="1115"/>
      <c r="E145" s="1115"/>
      <c r="F145" s="1115"/>
      <c r="G145" s="1115"/>
      <c r="H145" s="1115"/>
      <c r="I145" s="1116"/>
      <c r="J145" s="726">
        <f>SUM(J141:J144)</f>
        <v>103.75</v>
      </c>
    </row>
    <row r="146" spans="1:10" s="268" customFormat="1" ht="45" customHeight="1" thickBot="1" x14ac:dyDescent="0.3">
      <c r="B146" s="498"/>
      <c r="C146" s="722"/>
      <c r="D146" s="471"/>
      <c r="F146" s="269"/>
      <c r="G146" s="269"/>
      <c r="H146" s="270"/>
      <c r="I146" s="704"/>
    </row>
    <row r="147" spans="1:10" s="615" customFormat="1" ht="57" customHeight="1" thickTop="1" thickBot="1" x14ac:dyDescent="0.55000000000000004">
      <c r="A147" s="612"/>
      <c r="B147" s="631" t="s">
        <v>0</v>
      </c>
      <c r="C147" s="725" t="s">
        <v>1</v>
      </c>
      <c r="D147" s="1149" t="s">
        <v>2</v>
      </c>
      <c r="E147" s="1150"/>
      <c r="F147" s="632" t="s">
        <v>3</v>
      </c>
      <c r="G147" s="632" t="s">
        <v>4</v>
      </c>
      <c r="H147" s="632" t="s">
        <v>5</v>
      </c>
      <c r="I147" s="633" t="s">
        <v>6</v>
      </c>
      <c r="J147" s="634" t="s">
        <v>7</v>
      </c>
    </row>
    <row r="148" spans="1:10" s="268" customFormat="1" ht="45" customHeight="1" x14ac:dyDescent="0.25">
      <c r="B148" s="1154">
        <v>17</v>
      </c>
      <c r="C148" s="1151" t="s">
        <v>313</v>
      </c>
      <c r="D148" s="1125" t="s">
        <v>14</v>
      </c>
      <c r="E148" s="507" t="s">
        <v>119</v>
      </c>
      <c r="F148" s="508" t="s">
        <v>59</v>
      </c>
      <c r="G148" s="637">
        <f>'اسعار الخامات'!E75</f>
        <v>92.96</v>
      </c>
      <c r="H148" s="510">
        <v>1</v>
      </c>
      <c r="I148" s="638"/>
      <c r="J148" s="510">
        <f>H148*G148+(I148*H148*G148)</f>
        <v>92.96</v>
      </c>
    </row>
    <row r="149" spans="1:10" s="268" customFormat="1" ht="45" customHeight="1" x14ac:dyDescent="0.25">
      <c r="B149" s="1155"/>
      <c r="C149" s="1152"/>
      <c r="D149" s="1126"/>
      <c r="E149" s="1158" t="s">
        <v>151</v>
      </c>
      <c r="F149" s="1161" t="s">
        <v>96</v>
      </c>
      <c r="G149" s="1163">
        <v>30</v>
      </c>
      <c r="H149" s="1165">
        <v>1</v>
      </c>
      <c r="I149" s="640"/>
      <c r="J149" s="1165">
        <f>H149*G149+(I149*H149*G149)</f>
        <v>30</v>
      </c>
    </row>
    <row r="150" spans="1:10" s="268" customFormat="1" ht="45" customHeight="1" x14ac:dyDescent="0.25">
      <c r="B150" s="1155"/>
      <c r="C150" s="1152"/>
      <c r="D150" s="1157"/>
      <c r="E150" s="1159"/>
      <c r="F150" s="1162"/>
      <c r="G150" s="1164"/>
      <c r="H150" s="1166"/>
      <c r="I150" s="644"/>
      <c r="J150" s="1166"/>
    </row>
    <row r="151" spans="1:10" s="268" customFormat="1" ht="45" customHeight="1" thickBot="1" x14ac:dyDescent="0.3">
      <c r="B151" s="1156"/>
      <c r="C151" s="727" t="s">
        <v>138</v>
      </c>
      <c r="D151" s="645" t="s">
        <v>11</v>
      </c>
      <c r="E151" s="646" t="s">
        <v>122</v>
      </c>
      <c r="F151" s="647" t="s">
        <v>70</v>
      </c>
      <c r="G151" s="648">
        <f>'اسعار المصنعيات'!D74</f>
        <v>20</v>
      </c>
      <c r="H151" s="649">
        <v>1</v>
      </c>
      <c r="I151" s="650"/>
      <c r="J151" s="649">
        <f>H151*G151+(I151*H151*G151)</f>
        <v>20</v>
      </c>
    </row>
    <row r="152" spans="1:10" s="268" customFormat="1" ht="45" customHeight="1" thickBot="1" x14ac:dyDescent="0.3">
      <c r="B152" s="1114" t="s">
        <v>13</v>
      </c>
      <c r="C152" s="1115"/>
      <c r="D152" s="1115"/>
      <c r="E152" s="1115"/>
      <c r="F152" s="1115"/>
      <c r="G152" s="1115"/>
      <c r="H152" s="1115"/>
      <c r="I152" s="1116"/>
      <c r="J152" s="726">
        <f>SUM(J148:J151)</f>
        <v>142.95999999999998</v>
      </c>
    </row>
    <row r="153" spans="1:10" s="268" customFormat="1" ht="45" customHeight="1" x14ac:dyDescent="0.25">
      <c r="B153" s="498"/>
      <c r="C153" s="722"/>
      <c r="D153" s="471"/>
      <c r="F153" s="269"/>
      <c r="G153" s="269"/>
      <c r="H153" s="270"/>
      <c r="I153" s="704"/>
    </row>
    <row r="154" spans="1:10" ht="35.1" customHeight="1" x14ac:dyDescent="0.25">
      <c r="D154" s="34"/>
    </row>
    <row r="155" spans="1:10" ht="35.1" customHeight="1" x14ac:dyDescent="0.25">
      <c r="D155" s="34"/>
    </row>
    <row r="156" spans="1:10" ht="35.1" customHeight="1" x14ac:dyDescent="0.25">
      <c r="D156" s="34"/>
    </row>
    <row r="157" spans="1:10" ht="35.1" customHeight="1" x14ac:dyDescent="0.25">
      <c r="D157" s="34"/>
    </row>
    <row r="158" spans="1:10" ht="35.1" customHeight="1" x14ac:dyDescent="0.25">
      <c r="D158" s="34"/>
    </row>
    <row r="159" spans="1:10" ht="35.1" customHeight="1" x14ac:dyDescent="0.25">
      <c r="D159" s="34"/>
    </row>
    <row r="160" spans="1:10" ht="35.1" customHeight="1" x14ac:dyDescent="0.25">
      <c r="D160" s="34"/>
    </row>
    <row r="161" spans="4:4" ht="35.1" customHeight="1" x14ac:dyDescent="0.25">
      <c r="D161" s="34"/>
    </row>
    <row r="162" spans="4:4" ht="35.1" customHeight="1" x14ac:dyDescent="0.25">
      <c r="D162" s="34"/>
    </row>
    <row r="163" spans="4:4" ht="35.1" customHeight="1" x14ac:dyDescent="0.25">
      <c r="D163" s="34"/>
    </row>
    <row r="164" spans="4:4" ht="35.1" customHeight="1" x14ac:dyDescent="0.25">
      <c r="D164" s="34"/>
    </row>
    <row r="165" spans="4:4" ht="35.1" customHeight="1" x14ac:dyDescent="0.25">
      <c r="D165" s="34"/>
    </row>
    <row r="166" spans="4:4" ht="35.1" customHeight="1" x14ac:dyDescent="0.25">
      <c r="D166" s="34"/>
    </row>
    <row r="167" spans="4:4" ht="35.1" customHeight="1" x14ac:dyDescent="0.25">
      <c r="D167" s="34"/>
    </row>
    <row r="168" spans="4:4" ht="35.1" customHeight="1" x14ac:dyDescent="0.25">
      <c r="D168" s="34"/>
    </row>
    <row r="169" spans="4:4" ht="35.1" customHeight="1" x14ac:dyDescent="0.25">
      <c r="D169" s="34"/>
    </row>
    <row r="170" spans="4:4" ht="35.1" customHeight="1" x14ac:dyDescent="0.25">
      <c r="D170" s="34"/>
    </row>
    <row r="171" spans="4:4" ht="35.1" customHeight="1" x14ac:dyDescent="0.25">
      <c r="D171" s="34"/>
    </row>
    <row r="172" spans="4:4" ht="35.1" customHeight="1" x14ac:dyDescent="0.25">
      <c r="D172" s="34"/>
    </row>
    <row r="173" spans="4:4" ht="35.1" customHeight="1" x14ac:dyDescent="0.25">
      <c r="D173" s="34"/>
    </row>
    <row r="174" spans="4:4" ht="35.1" customHeight="1" x14ac:dyDescent="0.25">
      <c r="D174" s="34"/>
    </row>
    <row r="175" spans="4:4" ht="35.1" customHeight="1" x14ac:dyDescent="0.25">
      <c r="D175" s="34"/>
    </row>
    <row r="176" spans="4:4" ht="35.1" customHeight="1" x14ac:dyDescent="0.25">
      <c r="D176" s="34"/>
    </row>
    <row r="177" spans="4:4" ht="35.1" customHeight="1" x14ac:dyDescent="0.25">
      <c r="D177" s="34"/>
    </row>
    <row r="178" spans="4:4" ht="35.1" customHeight="1" x14ac:dyDescent="0.25">
      <c r="D178" s="34"/>
    </row>
    <row r="179" spans="4:4" ht="35.1" customHeight="1" x14ac:dyDescent="0.25">
      <c r="D179" s="34"/>
    </row>
    <row r="180" spans="4:4" ht="35.1" customHeight="1" x14ac:dyDescent="0.25">
      <c r="D180" s="34"/>
    </row>
    <row r="181" spans="4:4" ht="35.1" customHeight="1" x14ac:dyDescent="0.25">
      <c r="D181" s="34"/>
    </row>
    <row r="182" spans="4:4" ht="35.1" customHeight="1" x14ac:dyDescent="0.25">
      <c r="D182" s="34"/>
    </row>
    <row r="183" spans="4:4" ht="35.1" customHeight="1" x14ac:dyDescent="0.25">
      <c r="D183" s="34"/>
    </row>
    <row r="184" spans="4:4" ht="35.1" customHeight="1" x14ac:dyDescent="0.25">
      <c r="D184" s="34"/>
    </row>
    <row r="185" spans="4:4" ht="35.1" customHeight="1" x14ac:dyDescent="0.25">
      <c r="D185" s="34"/>
    </row>
    <row r="186" spans="4:4" ht="35.1" customHeight="1" x14ac:dyDescent="0.25">
      <c r="D186" s="34"/>
    </row>
    <row r="187" spans="4:4" ht="35.1" customHeight="1" x14ac:dyDescent="0.25">
      <c r="D187" s="34"/>
    </row>
    <row r="188" spans="4:4" ht="35.1" customHeight="1" x14ac:dyDescent="0.25">
      <c r="D188" s="34"/>
    </row>
    <row r="189" spans="4:4" ht="35.1" customHeight="1" x14ac:dyDescent="0.25">
      <c r="D189" s="34"/>
    </row>
    <row r="190" spans="4:4" ht="35.1" customHeight="1" x14ac:dyDescent="0.25">
      <c r="D190" s="34"/>
    </row>
    <row r="191" spans="4:4" ht="35.1" customHeight="1" x14ac:dyDescent="0.25">
      <c r="D191" s="34"/>
    </row>
    <row r="192" spans="4:4" ht="35.1" customHeight="1" x14ac:dyDescent="0.25">
      <c r="D192" s="34"/>
    </row>
    <row r="193" spans="4:4" ht="35.1" customHeight="1" x14ac:dyDescent="0.25">
      <c r="D193" s="34"/>
    </row>
    <row r="194" spans="4:4" ht="35.1" customHeight="1" x14ac:dyDescent="0.25">
      <c r="D194" s="34"/>
    </row>
    <row r="195" spans="4:4" ht="35.1" customHeight="1" x14ac:dyDescent="0.25">
      <c r="D195" s="34"/>
    </row>
    <row r="196" spans="4:4" ht="35.1" customHeight="1" x14ac:dyDescent="0.25">
      <c r="D196" s="34"/>
    </row>
    <row r="197" spans="4:4" ht="35.1" customHeight="1" x14ac:dyDescent="0.25">
      <c r="D197" s="34"/>
    </row>
    <row r="198" spans="4:4" ht="35.1" customHeight="1" x14ac:dyDescent="0.25">
      <c r="D198" s="34"/>
    </row>
    <row r="199" spans="4:4" ht="35.1" customHeight="1" x14ac:dyDescent="0.25">
      <c r="D199" s="34"/>
    </row>
    <row r="200" spans="4:4" ht="35.1" customHeight="1" x14ac:dyDescent="0.25">
      <c r="D200" s="34"/>
    </row>
    <row r="201" spans="4:4" ht="35.1" customHeight="1" x14ac:dyDescent="0.25">
      <c r="D201" s="34"/>
    </row>
    <row r="202" spans="4:4" ht="35.1" customHeight="1" x14ac:dyDescent="0.25">
      <c r="D202" s="34"/>
    </row>
    <row r="203" spans="4:4" ht="35.1" customHeight="1" x14ac:dyDescent="0.25">
      <c r="D203" s="34"/>
    </row>
    <row r="204" spans="4:4" ht="35.1" customHeight="1" x14ac:dyDescent="0.25">
      <c r="D204" s="34"/>
    </row>
    <row r="205" spans="4:4" ht="35.1" customHeight="1" x14ac:dyDescent="0.25">
      <c r="D205" s="34"/>
    </row>
    <row r="206" spans="4:4" ht="35.1" customHeight="1" x14ac:dyDescent="0.25">
      <c r="D206" s="34"/>
    </row>
    <row r="207" spans="4:4" ht="35.1" customHeight="1" x14ac:dyDescent="0.25">
      <c r="D207" s="34"/>
    </row>
    <row r="208" spans="4:4" ht="35.1" customHeight="1" x14ac:dyDescent="0.25">
      <c r="D208" s="34"/>
    </row>
    <row r="209" spans="4:4" ht="35.1" customHeight="1" x14ac:dyDescent="0.25">
      <c r="D209" s="34"/>
    </row>
    <row r="210" spans="4:4" ht="35.1" customHeight="1" x14ac:dyDescent="0.25">
      <c r="D210" s="34"/>
    </row>
    <row r="211" spans="4:4" ht="35.1" customHeight="1" x14ac:dyDescent="0.25">
      <c r="D211" s="34"/>
    </row>
    <row r="212" spans="4:4" ht="35.1" customHeight="1" x14ac:dyDescent="0.25">
      <c r="D212" s="34"/>
    </row>
    <row r="213" spans="4:4" ht="35.1" customHeight="1" x14ac:dyDescent="0.25">
      <c r="D213" s="34"/>
    </row>
    <row r="214" spans="4:4" ht="35.1" customHeight="1" x14ac:dyDescent="0.25">
      <c r="D214" s="34"/>
    </row>
    <row r="215" spans="4:4" ht="35.1" customHeight="1" x14ac:dyDescent="0.25">
      <c r="D215" s="34"/>
    </row>
    <row r="216" spans="4:4" ht="35.1" customHeight="1" x14ac:dyDescent="0.25">
      <c r="D216" s="34"/>
    </row>
    <row r="217" spans="4:4" ht="35.1" customHeight="1" x14ac:dyDescent="0.25">
      <c r="D217" s="34"/>
    </row>
    <row r="218" spans="4:4" ht="35.1" customHeight="1" x14ac:dyDescent="0.25">
      <c r="D218" s="34"/>
    </row>
    <row r="219" spans="4:4" ht="35.1" customHeight="1" x14ac:dyDescent="0.25">
      <c r="D219" s="34"/>
    </row>
    <row r="220" spans="4:4" ht="35.1" customHeight="1" x14ac:dyDescent="0.25">
      <c r="D220" s="34"/>
    </row>
    <row r="221" spans="4:4" ht="35.1" customHeight="1" x14ac:dyDescent="0.25">
      <c r="D221" s="34"/>
    </row>
    <row r="222" spans="4:4" ht="35.1" customHeight="1" x14ac:dyDescent="0.25">
      <c r="D222" s="34"/>
    </row>
    <row r="223" spans="4:4" ht="35.1" customHeight="1" x14ac:dyDescent="0.25">
      <c r="D223" s="34"/>
    </row>
    <row r="224" spans="4:4" ht="35.1" customHeight="1" x14ac:dyDescent="0.25">
      <c r="D224" s="34"/>
    </row>
    <row r="225" spans="4:4" ht="35.1" customHeight="1" x14ac:dyDescent="0.25">
      <c r="D225" s="34"/>
    </row>
    <row r="226" spans="4:4" ht="35.1" customHeight="1" x14ac:dyDescent="0.25">
      <c r="D226" s="34"/>
    </row>
    <row r="227" spans="4:4" ht="35.1" customHeight="1" x14ac:dyDescent="0.25">
      <c r="D227" s="34"/>
    </row>
    <row r="228" spans="4:4" ht="35.1" customHeight="1" x14ac:dyDescent="0.25">
      <c r="D228" s="34"/>
    </row>
    <row r="229" spans="4:4" ht="35.1" customHeight="1" x14ac:dyDescent="0.25">
      <c r="D229" s="34"/>
    </row>
    <row r="230" spans="4:4" ht="35.1" customHeight="1" x14ac:dyDescent="0.25">
      <c r="D230" s="34"/>
    </row>
    <row r="231" spans="4:4" ht="35.1" customHeight="1" x14ac:dyDescent="0.25">
      <c r="D231" s="34"/>
    </row>
    <row r="232" spans="4:4" ht="35.1" customHeight="1" x14ac:dyDescent="0.25">
      <c r="D232" s="34"/>
    </row>
    <row r="233" spans="4:4" ht="35.1" customHeight="1" x14ac:dyDescent="0.25">
      <c r="D233" s="34"/>
    </row>
    <row r="234" spans="4:4" ht="35.1" customHeight="1" x14ac:dyDescent="0.25">
      <c r="D234" s="34"/>
    </row>
    <row r="235" spans="4:4" ht="35.1" customHeight="1" x14ac:dyDescent="0.25">
      <c r="D235" s="34"/>
    </row>
    <row r="236" spans="4:4" ht="35.1" customHeight="1" x14ac:dyDescent="0.25">
      <c r="D236" s="34"/>
    </row>
    <row r="237" spans="4:4" ht="35.1" customHeight="1" x14ac:dyDescent="0.25">
      <c r="D237" s="34"/>
    </row>
    <row r="238" spans="4:4" ht="35.1" customHeight="1" x14ac:dyDescent="0.25">
      <c r="D238" s="34"/>
    </row>
    <row r="239" spans="4:4" ht="35.1" customHeight="1" x14ac:dyDescent="0.25">
      <c r="D239" s="34"/>
    </row>
    <row r="240" spans="4:4" ht="35.1" customHeight="1" x14ac:dyDescent="0.25">
      <c r="D240" s="34"/>
    </row>
    <row r="241" spans="4:4" ht="35.1" customHeight="1" x14ac:dyDescent="0.25">
      <c r="D241" s="34"/>
    </row>
    <row r="242" spans="4:4" ht="35.1" customHeight="1" x14ac:dyDescent="0.25">
      <c r="D242" s="34"/>
    </row>
    <row r="243" spans="4:4" ht="35.1" customHeight="1" x14ac:dyDescent="0.25">
      <c r="D243" s="34"/>
    </row>
    <row r="244" spans="4:4" ht="35.1" customHeight="1" x14ac:dyDescent="0.25">
      <c r="D244" s="34"/>
    </row>
    <row r="245" spans="4:4" ht="35.1" customHeight="1" x14ac:dyDescent="0.25">
      <c r="D245" s="34"/>
    </row>
    <row r="246" spans="4:4" ht="35.1" customHeight="1" x14ac:dyDescent="0.25">
      <c r="D246" s="34"/>
    </row>
    <row r="247" spans="4:4" ht="35.1" customHeight="1" x14ac:dyDescent="0.25">
      <c r="D247" s="34"/>
    </row>
    <row r="248" spans="4:4" ht="35.1" customHeight="1" x14ac:dyDescent="0.25">
      <c r="D248" s="34"/>
    </row>
    <row r="249" spans="4:4" ht="35.1" customHeight="1" x14ac:dyDescent="0.25">
      <c r="D249" s="34"/>
    </row>
    <row r="250" spans="4:4" ht="35.1" customHeight="1" x14ac:dyDescent="0.25">
      <c r="D250" s="34"/>
    </row>
    <row r="251" spans="4:4" ht="35.1" customHeight="1" x14ac:dyDescent="0.25">
      <c r="D251" s="34"/>
    </row>
    <row r="252" spans="4:4" ht="35.1" customHeight="1" x14ac:dyDescent="0.25">
      <c r="D252" s="34"/>
    </row>
    <row r="253" spans="4:4" ht="35.1" customHeight="1" x14ac:dyDescent="0.25">
      <c r="D253" s="34"/>
    </row>
    <row r="254" spans="4:4" ht="35.1" customHeight="1" x14ac:dyDescent="0.25">
      <c r="D254" s="34"/>
    </row>
    <row r="255" spans="4:4" ht="35.1" customHeight="1" x14ac:dyDescent="0.25">
      <c r="D255" s="34"/>
    </row>
    <row r="256" spans="4:4" ht="35.1" customHeight="1" x14ac:dyDescent="0.25">
      <c r="D256" s="34"/>
    </row>
    <row r="257" spans="4:4" ht="35.1" customHeight="1" x14ac:dyDescent="0.25">
      <c r="D257" s="34"/>
    </row>
    <row r="258" spans="4:4" ht="35.1" customHeight="1" x14ac:dyDescent="0.25">
      <c r="D258" s="34"/>
    </row>
    <row r="259" spans="4:4" ht="35.1" customHeight="1" x14ac:dyDescent="0.25">
      <c r="D259" s="34"/>
    </row>
    <row r="260" spans="4:4" ht="35.1" customHeight="1" x14ac:dyDescent="0.25">
      <c r="D260" s="34"/>
    </row>
    <row r="261" spans="4:4" ht="35.1" customHeight="1" x14ac:dyDescent="0.25">
      <c r="D261" s="34"/>
    </row>
    <row r="262" spans="4:4" ht="35.1" customHeight="1" x14ac:dyDescent="0.25">
      <c r="D262" s="34"/>
    </row>
    <row r="263" spans="4:4" ht="35.1" customHeight="1" x14ac:dyDescent="0.25">
      <c r="D263" s="34"/>
    </row>
    <row r="264" spans="4:4" ht="35.1" customHeight="1" x14ac:dyDescent="0.25">
      <c r="D264" s="34"/>
    </row>
    <row r="265" spans="4:4" ht="35.1" customHeight="1" x14ac:dyDescent="0.25">
      <c r="D265" s="34"/>
    </row>
    <row r="266" spans="4:4" ht="35.1" customHeight="1" x14ac:dyDescent="0.25">
      <c r="D266" s="34"/>
    </row>
    <row r="267" spans="4:4" ht="35.1" customHeight="1" x14ac:dyDescent="0.25">
      <c r="D267" s="34"/>
    </row>
    <row r="268" spans="4:4" ht="35.1" customHeight="1" x14ac:dyDescent="0.25">
      <c r="D268" s="34"/>
    </row>
    <row r="269" spans="4:4" ht="35.1" customHeight="1" x14ac:dyDescent="0.25">
      <c r="D269" s="34"/>
    </row>
    <row r="270" spans="4:4" ht="35.1" customHeight="1" x14ac:dyDescent="0.25">
      <c r="D270" s="34"/>
    </row>
    <row r="271" spans="4:4" ht="35.1" customHeight="1" x14ac:dyDescent="0.25">
      <c r="D271" s="34"/>
    </row>
    <row r="272" spans="4:4" ht="35.1" customHeight="1" x14ac:dyDescent="0.25">
      <c r="D272" s="34"/>
    </row>
    <row r="273" spans="4:4" ht="35.1" customHeight="1" x14ac:dyDescent="0.25">
      <c r="D273" s="34"/>
    </row>
    <row r="274" spans="4:4" ht="35.1" customHeight="1" x14ac:dyDescent="0.25">
      <c r="D274" s="34"/>
    </row>
    <row r="275" spans="4:4" ht="35.1" customHeight="1" x14ac:dyDescent="0.25">
      <c r="D275" s="34"/>
    </row>
    <row r="276" spans="4:4" ht="35.1" customHeight="1" x14ac:dyDescent="0.25">
      <c r="D276" s="34"/>
    </row>
    <row r="277" spans="4:4" ht="35.1" customHeight="1" x14ac:dyDescent="0.25">
      <c r="D277" s="34"/>
    </row>
    <row r="278" spans="4:4" ht="35.1" customHeight="1" x14ac:dyDescent="0.25">
      <c r="D278" s="34"/>
    </row>
    <row r="279" spans="4:4" ht="35.1" customHeight="1" x14ac:dyDescent="0.25">
      <c r="D279" s="34"/>
    </row>
    <row r="280" spans="4:4" ht="35.1" customHeight="1" x14ac:dyDescent="0.25">
      <c r="D280" s="34"/>
    </row>
    <row r="281" spans="4:4" ht="35.1" customHeight="1" x14ac:dyDescent="0.25">
      <c r="D281" s="34"/>
    </row>
    <row r="282" spans="4:4" ht="35.1" customHeight="1" x14ac:dyDescent="0.25">
      <c r="D282" s="34"/>
    </row>
    <row r="283" spans="4:4" ht="35.1" customHeight="1" x14ac:dyDescent="0.25">
      <c r="D283" s="34"/>
    </row>
    <row r="284" spans="4:4" ht="35.1" customHeight="1" x14ac:dyDescent="0.25">
      <c r="D284" s="34"/>
    </row>
    <row r="285" spans="4:4" ht="35.1" customHeight="1" x14ac:dyDescent="0.25">
      <c r="D285" s="34"/>
    </row>
    <row r="286" spans="4:4" ht="35.1" customHeight="1" x14ac:dyDescent="0.25">
      <c r="D286" s="34"/>
    </row>
    <row r="287" spans="4:4" ht="35.1" customHeight="1" x14ac:dyDescent="0.25">
      <c r="D287" s="34"/>
    </row>
    <row r="288" spans="4:4" ht="35.1" customHeight="1" x14ac:dyDescent="0.25">
      <c r="D288" s="34"/>
    </row>
    <row r="289" spans="4:4" ht="35.1" customHeight="1" x14ac:dyDescent="0.25">
      <c r="D289" s="34"/>
    </row>
    <row r="290" spans="4:4" ht="35.1" customHeight="1" x14ac:dyDescent="0.25">
      <c r="D290" s="34"/>
    </row>
    <row r="291" spans="4:4" ht="35.1" customHeight="1" x14ac:dyDescent="0.25">
      <c r="D291" s="34"/>
    </row>
    <row r="292" spans="4:4" ht="35.1" customHeight="1" x14ac:dyDescent="0.25">
      <c r="D292" s="34"/>
    </row>
    <row r="293" spans="4:4" ht="35.1" customHeight="1" x14ac:dyDescent="0.25">
      <c r="D293" s="34"/>
    </row>
    <row r="294" spans="4:4" ht="35.1" customHeight="1" x14ac:dyDescent="0.25">
      <c r="D294" s="34"/>
    </row>
    <row r="295" spans="4:4" ht="35.1" customHeight="1" x14ac:dyDescent="0.25">
      <c r="D295" s="34"/>
    </row>
    <row r="296" spans="4:4" ht="35.1" customHeight="1" x14ac:dyDescent="0.25">
      <c r="D296" s="34"/>
    </row>
    <row r="297" spans="4:4" ht="35.1" customHeight="1" x14ac:dyDescent="0.25">
      <c r="D297" s="34"/>
    </row>
    <row r="298" spans="4:4" ht="35.1" customHeight="1" x14ac:dyDescent="0.25">
      <c r="D298" s="34"/>
    </row>
    <row r="299" spans="4:4" ht="35.1" customHeight="1" x14ac:dyDescent="0.25">
      <c r="D299" s="34"/>
    </row>
    <row r="300" spans="4:4" ht="35.1" customHeight="1" x14ac:dyDescent="0.25">
      <c r="D300" s="34"/>
    </row>
    <row r="301" spans="4:4" ht="35.1" customHeight="1" x14ac:dyDescent="0.25">
      <c r="D301" s="34"/>
    </row>
    <row r="302" spans="4:4" ht="35.1" customHeight="1" x14ac:dyDescent="0.25">
      <c r="D302" s="34"/>
    </row>
    <row r="303" spans="4:4" ht="35.1" customHeight="1" x14ac:dyDescent="0.25">
      <c r="D303" s="34"/>
    </row>
    <row r="304" spans="4:4" ht="35.1" customHeight="1" x14ac:dyDescent="0.25">
      <c r="D304" s="34"/>
    </row>
    <row r="305" spans="4:4" ht="35.1" customHeight="1" x14ac:dyDescent="0.25">
      <c r="D305" s="34"/>
    </row>
    <row r="306" spans="4:4" ht="35.1" customHeight="1" x14ac:dyDescent="0.25">
      <c r="D306" s="34"/>
    </row>
    <row r="307" spans="4:4" ht="35.1" customHeight="1" x14ac:dyDescent="0.25">
      <c r="D307" s="34"/>
    </row>
    <row r="308" spans="4:4" ht="35.1" customHeight="1" x14ac:dyDescent="0.25">
      <c r="D308" s="34"/>
    </row>
    <row r="309" spans="4:4" ht="35.1" customHeight="1" x14ac:dyDescent="0.25">
      <c r="D309" s="34"/>
    </row>
    <row r="310" spans="4:4" ht="35.1" customHeight="1" x14ac:dyDescent="0.25">
      <c r="D310" s="34"/>
    </row>
    <row r="311" spans="4:4" ht="35.1" customHeight="1" x14ac:dyDescent="0.25">
      <c r="D311" s="34"/>
    </row>
    <row r="312" spans="4:4" ht="35.1" customHeight="1" x14ac:dyDescent="0.25">
      <c r="D312" s="34"/>
    </row>
    <row r="313" spans="4:4" ht="35.1" customHeight="1" x14ac:dyDescent="0.25">
      <c r="D313" s="34"/>
    </row>
    <row r="314" spans="4:4" ht="35.1" customHeight="1" x14ac:dyDescent="0.25">
      <c r="D314" s="34"/>
    </row>
    <row r="315" spans="4:4" ht="35.1" customHeight="1" x14ac:dyDescent="0.25">
      <c r="D315" s="34"/>
    </row>
    <row r="316" spans="4:4" ht="35.1" customHeight="1" x14ac:dyDescent="0.25">
      <c r="D316" s="34"/>
    </row>
    <row r="317" spans="4:4" ht="35.1" customHeight="1" x14ac:dyDescent="0.25">
      <c r="D317" s="34"/>
    </row>
    <row r="318" spans="4:4" ht="35.1" customHeight="1" x14ac:dyDescent="0.25">
      <c r="D318" s="34"/>
    </row>
    <row r="319" spans="4:4" ht="35.1" customHeight="1" x14ac:dyDescent="0.25">
      <c r="D319" s="34"/>
    </row>
    <row r="320" spans="4:4" ht="35.1" customHeight="1" x14ac:dyDescent="0.25">
      <c r="D320" s="34"/>
    </row>
    <row r="321" spans="4:4" ht="35.1" customHeight="1" x14ac:dyDescent="0.25">
      <c r="D321" s="34"/>
    </row>
    <row r="322" spans="4:4" ht="35.1" customHeight="1" x14ac:dyDescent="0.25">
      <c r="D322" s="34"/>
    </row>
    <row r="323" spans="4:4" ht="35.1" customHeight="1" x14ac:dyDescent="0.25">
      <c r="D323" s="34"/>
    </row>
    <row r="324" spans="4:4" ht="35.1" customHeight="1" x14ac:dyDescent="0.25">
      <c r="D324" s="34"/>
    </row>
    <row r="325" spans="4:4" ht="35.1" customHeight="1" x14ac:dyDescent="0.25">
      <c r="D325" s="34"/>
    </row>
    <row r="326" spans="4:4" ht="35.1" customHeight="1" x14ac:dyDescent="0.25">
      <c r="D326" s="34"/>
    </row>
    <row r="327" spans="4:4" ht="35.1" customHeight="1" x14ac:dyDescent="0.25">
      <c r="D327" s="34"/>
    </row>
    <row r="328" spans="4:4" ht="35.1" customHeight="1" x14ac:dyDescent="0.25">
      <c r="D328" s="34"/>
    </row>
    <row r="329" spans="4:4" ht="35.1" customHeight="1" x14ac:dyDescent="0.25">
      <c r="D329" s="34"/>
    </row>
    <row r="330" spans="4:4" ht="35.1" customHeight="1" x14ac:dyDescent="0.25">
      <c r="D330" s="34"/>
    </row>
    <row r="331" spans="4:4" ht="35.1" customHeight="1" x14ac:dyDescent="0.25">
      <c r="D331" s="34"/>
    </row>
    <row r="332" spans="4:4" ht="35.1" customHeight="1" x14ac:dyDescent="0.25">
      <c r="D332" s="34"/>
    </row>
    <row r="333" spans="4:4" ht="35.1" customHeight="1" x14ac:dyDescent="0.25">
      <c r="D333" s="34"/>
    </row>
    <row r="334" spans="4:4" ht="35.1" customHeight="1" x14ac:dyDescent="0.25">
      <c r="D334" s="34"/>
    </row>
    <row r="335" spans="4:4" ht="35.1" customHeight="1" x14ac:dyDescent="0.25">
      <c r="D335" s="34"/>
    </row>
    <row r="336" spans="4:4" ht="35.1" customHeight="1" x14ac:dyDescent="0.25">
      <c r="D336" s="34"/>
    </row>
    <row r="337" spans="4:4" ht="35.1" customHeight="1" x14ac:dyDescent="0.25">
      <c r="D337" s="34"/>
    </row>
    <row r="338" spans="4:4" ht="35.1" customHeight="1" x14ac:dyDescent="0.25">
      <c r="D338" s="34"/>
    </row>
    <row r="339" spans="4:4" ht="35.1" customHeight="1" x14ac:dyDescent="0.25">
      <c r="D339" s="34"/>
    </row>
    <row r="340" spans="4:4" ht="35.1" customHeight="1" x14ac:dyDescent="0.25">
      <c r="D340" s="34"/>
    </row>
    <row r="341" spans="4:4" ht="35.1" customHeight="1" x14ac:dyDescent="0.25">
      <c r="D341" s="34"/>
    </row>
    <row r="342" spans="4:4" ht="35.1" customHeight="1" x14ac:dyDescent="0.25">
      <c r="D342" s="34"/>
    </row>
    <row r="343" spans="4:4" ht="35.1" customHeight="1" x14ac:dyDescent="0.25">
      <c r="D343" s="34"/>
    </row>
    <row r="344" spans="4:4" ht="35.1" customHeight="1" x14ac:dyDescent="0.25">
      <c r="D344" s="34"/>
    </row>
    <row r="345" spans="4:4" ht="35.1" customHeight="1" x14ac:dyDescent="0.25">
      <c r="D345" s="34"/>
    </row>
    <row r="346" spans="4:4" ht="35.1" customHeight="1" x14ac:dyDescent="0.25">
      <c r="D346" s="34"/>
    </row>
    <row r="347" spans="4:4" ht="35.1" customHeight="1" x14ac:dyDescent="0.25">
      <c r="D347" s="34"/>
    </row>
    <row r="348" spans="4:4" ht="35.1" customHeight="1" x14ac:dyDescent="0.25">
      <c r="D348" s="34"/>
    </row>
    <row r="349" spans="4:4" ht="35.1" customHeight="1" x14ac:dyDescent="0.25">
      <c r="D349" s="34"/>
    </row>
    <row r="350" spans="4:4" ht="35.1" customHeight="1" x14ac:dyDescent="0.25">
      <c r="D350" s="34"/>
    </row>
    <row r="351" spans="4:4" ht="35.1" customHeight="1" x14ac:dyDescent="0.25">
      <c r="D351" s="34"/>
    </row>
    <row r="352" spans="4:4" ht="35.1" customHeight="1" x14ac:dyDescent="0.25">
      <c r="D352" s="34"/>
    </row>
    <row r="353" spans="4:4" ht="35.1" customHeight="1" x14ac:dyDescent="0.25">
      <c r="D353" s="34"/>
    </row>
    <row r="354" spans="4:4" ht="35.1" customHeight="1" x14ac:dyDescent="0.25">
      <c r="D354" s="34"/>
    </row>
    <row r="355" spans="4:4" ht="35.1" customHeight="1" x14ac:dyDescent="0.25">
      <c r="D355" s="34"/>
    </row>
    <row r="356" spans="4:4" ht="35.1" customHeight="1" x14ac:dyDescent="0.25">
      <c r="D356" s="34"/>
    </row>
    <row r="357" spans="4:4" ht="35.1" customHeight="1" x14ac:dyDescent="0.25">
      <c r="D357" s="34"/>
    </row>
    <row r="358" spans="4:4" ht="35.1" customHeight="1" x14ac:dyDescent="0.25">
      <c r="D358" s="34"/>
    </row>
    <row r="359" spans="4:4" ht="35.1" customHeight="1" x14ac:dyDescent="0.25">
      <c r="D359" s="34"/>
    </row>
    <row r="360" spans="4:4" ht="35.1" customHeight="1" x14ac:dyDescent="0.25">
      <c r="D360" s="34"/>
    </row>
    <row r="361" spans="4:4" ht="35.1" customHeight="1" x14ac:dyDescent="0.25">
      <c r="D361" s="34"/>
    </row>
    <row r="362" spans="4:4" ht="35.1" customHeight="1" x14ac:dyDescent="0.25">
      <c r="D362" s="34"/>
    </row>
    <row r="363" spans="4:4" ht="35.1" customHeight="1" x14ac:dyDescent="0.25">
      <c r="D363" s="34"/>
    </row>
    <row r="364" spans="4:4" ht="35.1" customHeight="1" x14ac:dyDescent="0.25">
      <c r="D364" s="34"/>
    </row>
    <row r="365" spans="4:4" ht="35.1" customHeight="1" x14ac:dyDescent="0.25">
      <c r="D365" s="34"/>
    </row>
    <row r="366" spans="4:4" ht="35.1" customHeight="1" x14ac:dyDescent="0.25">
      <c r="D366" s="34"/>
    </row>
    <row r="367" spans="4:4" ht="35.1" customHeight="1" x14ac:dyDescent="0.25">
      <c r="D367" s="34"/>
    </row>
    <row r="368" spans="4:4" ht="35.1" customHeight="1" x14ac:dyDescent="0.25">
      <c r="D368" s="34"/>
    </row>
    <row r="369" spans="4:4" ht="35.1" customHeight="1" x14ac:dyDescent="0.25">
      <c r="D369" s="34"/>
    </row>
    <row r="370" spans="4:4" ht="35.1" customHeight="1" x14ac:dyDescent="0.25">
      <c r="D370" s="34"/>
    </row>
    <row r="371" spans="4:4" ht="35.1" customHeight="1" x14ac:dyDescent="0.25">
      <c r="D371" s="34"/>
    </row>
    <row r="372" spans="4:4" ht="35.1" customHeight="1" x14ac:dyDescent="0.25">
      <c r="D372" s="34"/>
    </row>
    <row r="373" spans="4:4" ht="35.1" customHeight="1" x14ac:dyDescent="0.25">
      <c r="D373" s="34"/>
    </row>
    <row r="374" spans="4:4" ht="35.1" customHeight="1" x14ac:dyDescent="0.25">
      <c r="D374" s="34"/>
    </row>
    <row r="375" spans="4:4" ht="35.1" customHeight="1" x14ac:dyDescent="0.25">
      <c r="D375" s="34"/>
    </row>
    <row r="376" spans="4:4" ht="35.1" customHeight="1" x14ac:dyDescent="0.25">
      <c r="D376" s="34"/>
    </row>
    <row r="377" spans="4:4" ht="35.1" customHeight="1" x14ac:dyDescent="0.25">
      <c r="D377" s="34"/>
    </row>
    <row r="378" spans="4:4" ht="35.1" customHeight="1" x14ac:dyDescent="0.25">
      <c r="D378" s="34"/>
    </row>
    <row r="379" spans="4:4" ht="35.1" customHeight="1" x14ac:dyDescent="0.25">
      <c r="D379" s="34"/>
    </row>
    <row r="380" spans="4:4" ht="35.1" customHeight="1" x14ac:dyDescent="0.25">
      <c r="D380" s="34"/>
    </row>
    <row r="381" spans="4:4" ht="35.1" customHeight="1" x14ac:dyDescent="0.25">
      <c r="D381" s="34"/>
    </row>
    <row r="382" spans="4:4" ht="35.1" customHeight="1" x14ac:dyDescent="0.25">
      <c r="D382" s="34"/>
    </row>
    <row r="383" spans="4:4" ht="35.1" customHeight="1" x14ac:dyDescent="0.25">
      <c r="D383" s="34"/>
    </row>
    <row r="384" spans="4:4" ht="35.1" customHeight="1" x14ac:dyDescent="0.25">
      <c r="D384" s="34"/>
    </row>
    <row r="385" spans="4:4" ht="35.1" customHeight="1" x14ac:dyDescent="0.25">
      <c r="D385" s="34"/>
    </row>
    <row r="386" spans="4:4" ht="35.1" customHeight="1" x14ac:dyDescent="0.25">
      <c r="D386" s="34"/>
    </row>
    <row r="387" spans="4:4" ht="35.1" customHeight="1" x14ac:dyDescent="0.25">
      <c r="D387" s="34"/>
    </row>
    <row r="388" spans="4:4" ht="35.1" customHeight="1" x14ac:dyDescent="0.25">
      <c r="D388" s="34"/>
    </row>
    <row r="389" spans="4:4" ht="35.1" customHeight="1" x14ac:dyDescent="0.25">
      <c r="D389" s="34"/>
    </row>
    <row r="390" spans="4:4" ht="35.1" customHeight="1" x14ac:dyDescent="0.25">
      <c r="D390" s="34"/>
    </row>
    <row r="391" spans="4:4" ht="35.1" customHeight="1" x14ac:dyDescent="0.25">
      <c r="D391" s="34"/>
    </row>
    <row r="392" spans="4:4" ht="35.1" customHeight="1" x14ac:dyDescent="0.25">
      <c r="D392" s="34"/>
    </row>
    <row r="393" spans="4:4" ht="35.1" customHeight="1" x14ac:dyDescent="0.25">
      <c r="D393" s="34"/>
    </row>
    <row r="394" spans="4:4" ht="35.1" customHeight="1" x14ac:dyDescent="0.25">
      <c r="D394" s="34"/>
    </row>
    <row r="395" spans="4:4" ht="35.1" customHeight="1" x14ac:dyDescent="0.25">
      <c r="D395" s="34"/>
    </row>
    <row r="396" spans="4:4" ht="35.1" customHeight="1" x14ac:dyDescent="0.25">
      <c r="D396" s="34"/>
    </row>
    <row r="397" spans="4:4" ht="35.1" customHeight="1" x14ac:dyDescent="0.25">
      <c r="D397" s="34"/>
    </row>
    <row r="398" spans="4:4" ht="35.1" customHeight="1" x14ac:dyDescent="0.25">
      <c r="D398" s="34"/>
    </row>
    <row r="399" spans="4:4" ht="35.1" customHeight="1" x14ac:dyDescent="0.25">
      <c r="D399" s="34"/>
    </row>
    <row r="400" spans="4:4" ht="35.1" customHeight="1" x14ac:dyDescent="0.25">
      <c r="D400" s="34"/>
    </row>
    <row r="401" spans="4:4" ht="35.1" customHeight="1" x14ac:dyDescent="0.25">
      <c r="D401" s="34"/>
    </row>
    <row r="402" spans="4:4" ht="35.1" customHeight="1" x14ac:dyDescent="0.25">
      <c r="D402" s="34"/>
    </row>
    <row r="403" spans="4:4" ht="35.1" customHeight="1" x14ac:dyDescent="0.25">
      <c r="D403" s="34"/>
    </row>
    <row r="404" spans="4:4" ht="35.1" customHeight="1" x14ac:dyDescent="0.25">
      <c r="D404" s="34"/>
    </row>
    <row r="405" spans="4:4" ht="35.1" customHeight="1" x14ac:dyDescent="0.25">
      <c r="D405" s="34"/>
    </row>
    <row r="406" spans="4:4" ht="35.1" customHeight="1" x14ac:dyDescent="0.25">
      <c r="D406" s="34"/>
    </row>
    <row r="407" spans="4:4" ht="35.1" customHeight="1" x14ac:dyDescent="0.25">
      <c r="D407" s="34"/>
    </row>
    <row r="408" spans="4:4" ht="35.1" customHeight="1" x14ac:dyDescent="0.25">
      <c r="D408" s="34"/>
    </row>
    <row r="409" spans="4:4" ht="35.1" customHeight="1" x14ac:dyDescent="0.25">
      <c r="D409" s="34"/>
    </row>
    <row r="410" spans="4:4" ht="35.1" customHeight="1" x14ac:dyDescent="0.25">
      <c r="D410" s="34"/>
    </row>
    <row r="411" spans="4:4" ht="35.1" customHeight="1" x14ac:dyDescent="0.25">
      <c r="D411" s="34"/>
    </row>
    <row r="412" spans="4:4" ht="35.1" customHeight="1" x14ac:dyDescent="0.25">
      <c r="D412" s="34"/>
    </row>
    <row r="413" spans="4:4" ht="35.1" customHeight="1" x14ac:dyDescent="0.25">
      <c r="D413" s="34"/>
    </row>
    <row r="414" spans="4:4" ht="35.1" customHeight="1" x14ac:dyDescent="0.25">
      <c r="D414" s="34"/>
    </row>
    <row r="415" spans="4:4" ht="35.1" customHeight="1" x14ac:dyDescent="0.25">
      <c r="D415" s="34"/>
    </row>
    <row r="416" spans="4:4" ht="35.1" customHeight="1" x14ac:dyDescent="0.25">
      <c r="D416" s="34"/>
    </row>
    <row r="417" spans="4:4" ht="35.1" customHeight="1" x14ac:dyDescent="0.25">
      <c r="D417" s="34"/>
    </row>
    <row r="418" spans="4:4" ht="35.1" customHeight="1" x14ac:dyDescent="0.25">
      <c r="D418" s="34"/>
    </row>
    <row r="419" spans="4:4" ht="35.1" customHeight="1" x14ac:dyDescent="0.25">
      <c r="D419" s="34"/>
    </row>
    <row r="420" spans="4:4" ht="35.1" customHeight="1" x14ac:dyDescent="0.25">
      <c r="D420" s="34"/>
    </row>
    <row r="421" spans="4:4" ht="35.1" customHeight="1" x14ac:dyDescent="0.25">
      <c r="D421" s="34"/>
    </row>
    <row r="422" spans="4:4" ht="35.1" customHeight="1" x14ac:dyDescent="0.25">
      <c r="D422" s="34"/>
    </row>
    <row r="423" spans="4:4" ht="35.1" customHeight="1" x14ac:dyDescent="0.25">
      <c r="D423" s="34"/>
    </row>
    <row r="424" spans="4:4" ht="35.1" customHeight="1" x14ac:dyDescent="0.25">
      <c r="D424" s="34"/>
    </row>
    <row r="425" spans="4:4" ht="35.1" customHeight="1" x14ac:dyDescent="0.25">
      <c r="D425" s="34"/>
    </row>
    <row r="426" spans="4:4" ht="35.1" customHeight="1" x14ac:dyDescent="0.25">
      <c r="D426" s="34"/>
    </row>
    <row r="427" spans="4:4" ht="35.1" customHeight="1" x14ac:dyDescent="0.25">
      <c r="D427" s="34"/>
    </row>
    <row r="428" spans="4:4" ht="35.1" customHeight="1" x14ac:dyDescent="0.25">
      <c r="D428" s="34"/>
    </row>
    <row r="429" spans="4:4" ht="35.1" customHeight="1" x14ac:dyDescent="0.25">
      <c r="D429" s="34"/>
    </row>
    <row r="430" spans="4:4" ht="35.1" customHeight="1" x14ac:dyDescent="0.25">
      <c r="D430" s="34"/>
    </row>
    <row r="431" spans="4:4" ht="35.1" customHeight="1" x14ac:dyDescent="0.25">
      <c r="D431" s="34"/>
    </row>
    <row r="432" spans="4:4" ht="35.1" customHeight="1" x14ac:dyDescent="0.25">
      <c r="D432" s="34"/>
    </row>
    <row r="433" spans="4:4" ht="35.1" customHeight="1" x14ac:dyDescent="0.25">
      <c r="D433" s="34"/>
    </row>
    <row r="434" spans="4:4" ht="35.1" customHeight="1" x14ac:dyDescent="0.25">
      <c r="D434" s="34"/>
    </row>
    <row r="435" spans="4:4" ht="35.1" customHeight="1" x14ac:dyDescent="0.25">
      <c r="D435" s="34"/>
    </row>
    <row r="436" spans="4:4" ht="35.1" customHeight="1" x14ac:dyDescent="0.25">
      <c r="D436" s="34"/>
    </row>
    <row r="437" spans="4:4" ht="35.1" customHeight="1" x14ac:dyDescent="0.25">
      <c r="D437" s="34"/>
    </row>
    <row r="438" spans="4:4" ht="35.1" customHeight="1" x14ac:dyDescent="0.25">
      <c r="D438" s="34"/>
    </row>
    <row r="439" spans="4:4" ht="35.1" customHeight="1" x14ac:dyDescent="0.25">
      <c r="D439" s="34"/>
    </row>
    <row r="440" spans="4:4" ht="35.1" customHeight="1" x14ac:dyDescent="0.25">
      <c r="D440" s="34"/>
    </row>
    <row r="441" spans="4:4" ht="35.1" customHeight="1" x14ac:dyDescent="0.25">
      <c r="D441" s="34"/>
    </row>
    <row r="442" spans="4:4" ht="35.1" customHeight="1" x14ac:dyDescent="0.25">
      <c r="D442" s="34"/>
    </row>
    <row r="443" spans="4:4" ht="35.1" customHeight="1" x14ac:dyDescent="0.25">
      <c r="D443" s="34"/>
    </row>
    <row r="444" spans="4:4" ht="35.1" customHeight="1" x14ac:dyDescent="0.25">
      <c r="D444" s="34"/>
    </row>
    <row r="445" spans="4:4" ht="35.1" customHeight="1" x14ac:dyDescent="0.25">
      <c r="D445" s="34"/>
    </row>
    <row r="446" spans="4:4" ht="35.1" customHeight="1" x14ac:dyDescent="0.25">
      <c r="D446" s="34"/>
    </row>
    <row r="447" spans="4:4" ht="35.1" customHeight="1" x14ac:dyDescent="0.25">
      <c r="D447" s="34"/>
    </row>
    <row r="448" spans="4:4" ht="35.1" customHeight="1" x14ac:dyDescent="0.25">
      <c r="D448" s="34"/>
    </row>
    <row r="449" spans="4:4" ht="35.1" customHeight="1" x14ac:dyDescent="0.25">
      <c r="D449" s="34"/>
    </row>
    <row r="450" spans="4:4" ht="35.1" customHeight="1" x14ac:dyDescent="0.25">
      <c r="D450" s="34"/>
    </row>
    <row r="451" spans="4:4" ht="35.1" customHeight="1" x14ac:dyDescent="0.25">
      <c r="D451" s="34"/>
    </row>
    <row r="452" spans="4:4" ht="35.1" customHeight="1" x14ac:dyDescent="0.25">
      <c r="D452" s="34"/>
    </row>
    <row r="453" spans="4:4" ht="35.1" customHeight="1" x14ac:dyDescent="0.25">
      <c r="D453" s="34"/>
    </row>
    <row r="454" spans="4:4" ht="35.1" customHeight="1" x14ac:dyDescent="0.25">
      <c r="D454" s="34"/>
    </row>
    <row r="455" spans="4:4" ht="35.1" customHeight="1" x14ac:dyDescent="0.25">
      <c r="D455" s="34"/>
    </row>
    <row r="456" spans="4:4" ht="35.1" customHeight="1" x14ac:dyDescent="0.25">
      <c r="D456" s="34"/>
    </row>
    <row r="457" spans="4:4" ht="35.1" customHeight="1" x14ac:dyDescent="0.25">
      <c r="D457" s="34"/>
    </row>
    <row r="458" spans="4:4" ht="35.1" customHeight="1" x14ac:dyDescent="0.25">
      <c r="D458" s="34"/>
    </row>
    <row r="459" spans="4:4" ht="35.1" customHeight="1" x14ac:dyDescent="0.25">
      <c r="D459" s="34"/>
    </row>
    <row r="460" spans="4:4" ht="35.1" customHeight="1" x14ac:dyDescent="0.25">
      <c r="D460" s="34"/>
    </row>
    <row r="461" spans="4:4" ht="35.1" customHeight="1" x14ac:dyDescent="0.25">
      <c r="D461" s="34"/>
    </row>
    <row r="462" spans="4:4" ht="35.1" customHeight="1" x14ac:dyDescent="0.25">
      <c r="D462" s="34"/>
    </row>
    <row r="463" spans="4:4" ht="35.1" customHeight="1" x14ac:dyDescent="0.25">
      <c r="D463" s="34"/>
    </row>
    <row r="464" spans="4:4" ht="35.1" customHeight="1" x14ac:dyDescent="0.25">
      <c r="D464" s="34"/>
    </row>
    <row r="465" spans="4:4" ht="35.1" customHeight="1" x14ac:dyDescent="0.25">
      <c r="D465" s="34"/>
    </row>
    <row r="466" spans="4:4" ht="35.1" customHeight="1" x14ac:dyDescent="0.25">
      <c r="D466" s="34"/>
    </row>
    <row r="467" spans="4:4" ht="35.1" customHeight="1" x14ac:dyDescent="0.25">
      <c r="D467" s="34"/>
    </row>
    <row r="468" spans="4:4" ht="35.1" customHeight="1" x14ac:dyDescent="0.25">
      <c r="D468" s="34"/>
    </row>
    <row r="469" spans="4:4" ht="35.1" customHeight="1" x14ac:dyDescent="0.25">
      <c r="D469" s="34"/>
    </row>
    <row r="470" spans="4:4" ht="35.1" customHeight="1" x14ac:dyDescent="0.25">
      <c r="D470" s="34"/>
    </row>
    <row r="471" spans="4:4" ht="35.1" customHeight="1" x14ac:dyDescent="0.25">
      <c r="D471" s="34"/>
    </row>
    <row r="472" spans="4:4" ht="35.1" customHeight="1" x14ac:dyDescent="0.25">
      <c r="D472" s="34"/>
    </row>
    <row r="473" spans="4:4" ht="35.1" customHeight="1" x14ac:dyDescent="0.25">
      <c r="D473" s="34"/>
    </row>
    <row r="474" spans="4:4" ht="35.1" customHeight="1" x14ac:dyDescent="0.25">
      <c r="D474" s="34"/>
    </row>
    <row r="475" spans="4:4" ht="35.1" customHeight="1" x14ac:dyDescent="0.25">
      <c r="D475" s="34"/>
    </row>
    <row r="476" spans="4:4" ht="35.1" customHeight="1" x14ac:dyDescent="0.25">
      <c r="D476" s="34"/>
    </row>
    <row r="477" spans="4:4" ht="35.1" customHeight="1" x14ac:dyDescent="0.25">
      <c r="D477" s="34"/>
    </row>
    <row r="478" spans="4:4" ht="35.1" customHeight="1" x14ac:dyDescent="0.25">
      <c r="D478" s="34"/>
    </row>
    <row r="479" spans="4:4" ht="35.1" customHeight="1" x14ac:dyDescent="0.25">
      <c r="D479" s="34"/>
    </row>
    <row r="480" spans="4:4" ht="35.1" customHeight="1" x14ac:dyDescent="0.25">
      <c r="D480" s="34"/>
    </row>
    <row r="481" spans="4:4" ht="35.1" customHeight="1" x14ac:dyDescent="0.25">
      <c r="D481" s="34"/>
    </row>
    <row r="482" spans="4:4" ht="35.1" customHeight="1" x14ac:dyDescent="0.25">
      <c r="D482" s="34"/>
    </row>
    <row r="483" spans="4:4" ht="35.1" customHeight="1" x14ac:dyDescent="0.25">
      <c r="D483" s="34"/>
    </row>
    <row r="484" spans="4:4" ht="35.1" customHeight="1" x14ac:dyDescent="0.25">
      <c r="D484" s="34"/>
    </row>
    <row r="485" spans="4:4" ht="35.1" customHeight="1" x14ac:dyDescent="0.25">
      <c r="D485" s="34"/>
    </row>
    <row r="486" spans="4:4" ht="35.1" customHeight="1" x14ac:dyDescent="0.25">
      <c r="D486" s="34"/>
    </row>
    <row r="487" spans="4:4" ht="35.1" customHeight="1" x14ac:dyDescent="0.25">
      <c r="D487" s="34"/>
    </row>
    <row r="488" spans="4:4" ht="35.1" customHeight="1" x14ac:dyDescent="0.25">
      <c r="D488" s="34"/>
    </row>
    <row r="489" spans="4:4" ht="35.1" customHeight="1" x14ac:dyDescent="0.25">
      <c r="D489" s="34"/>
    </row>
    <row r="490" spans="4:4" ht="35.1" customHeight="1" x14ac:dyDescent="0.25">
      <c r="D490" s="34"/>
    </row>
    <row r="491" spans="4:4" ht="35.1" customHeight="1" x14ac:dyDescent="0.25">
      <c r="D491" s="34"/>
    </row>
    <row r="492" spans="4:4" ht="35.1" customHeight="1" x14ac:dyDescent="0.25">
      <c r="D492" s="34"/>
    </row>
    <row r="493" spans="4:4" ht="35.1" customHeight="1" x14ac:dyDescent="0.25">
      <c r="D493" s="34"/>
    </row>
    <row r="494" spans="4:4" ht="35.1" customHeight="1" x14ac:dyDescent="0.25">
      <c r="D494" s="34"/>
    </row>
    <row r="495" spans="4:4" ht="35.1" customHeight="1" x14ac:dyDescent="0.25">
      <c r="D495" s="34"/>
    </row>
    <row r="496" spans="4:4" ht="35.1" customHeight="1" x14ac:dyDescent="0.25">
      <c r="D496" s="34"/>
    </row>
    <row r="497" spans="4:4" ht="35.1" customHeight="1" x14ac:dyDescent="0.25">
      <c r="D497" s="34"/>
    </row>
    <row r="498" spans="4:4" ht="35.1" customHeight="1" x14ac:dyDescent="0.25">
      <c r="D498" s="34"/>
    </row>
    <row r="499" spans="4:4" ht="35.1" customHeight="1" x14ac:dyDescent="0.25">
      <c r="D499" s="34"/>
    </row>
    <row r="500" spans="4:4" ht="35.1" customHeight="1" x14ac:dyDescent="0.25">
      <c r="D500" s="34"/>
    </row>
    <row r="501" spans="4:4" ht="35.1" customHeight="1" x14ac:dyDescent="0.25">
      <c r="D501" s="34"/>
    </row>
    <row r="502" spans="4:4" ht="35.1" customHeight="1" x14ac:dyDescent="0.25">
      <c r="D502" s="34"/>
    </row>
    <row r="503" spans="4:4" ht="35.1" customHeight="1" x14ac:dyDescent="0.25">
      <c r="D503" s="34"/>
    </row>
    <row r="504" spans="4:4" ht="35.1" customHeight="1" x14ac:dyDescent="0.25">
      <c r="D504" s="34"/>
    </row>
    <row r="505" spans="4:4" ht="35.1" customHeight="1" x14ac:dyDescent="0.25">
      <c r="D505" s="34"/>
    </row>
    <row r="506" spans="4:4" ht="35.1" customHeight="1" x14ac:dyDescent="0.25">
      <c r="D506" s="34"/>
    </row>
    <row r="507" spans="4:4" ht="35.1" customHeight="1" x14ac:dyDescent="0.25">
      <c r="D507" s="34"/>
    </row>
    <row r="508" spans="4:4" ht="35.1" customHeight="1" x14ac:dyDescent="0.25">
      <c r="D508" s="34"/>
    </row>
    <row r="509" spans="4:4" ht="35.1" customHeight="1" x14ac:dyDescent="0.25">
      <c r="D509" s="34"/>
    </row>
    <row r="510" spans="4:4" ht="35.1" customHeight="1" x14ac:dyDescent="0.25">
      <c r="D510" s="34"/>
    </row>
    <row r="511" spans="4:4" ht="35.1" customHeight="1" x14ac:dyDescent="0.25">
      <c r="D511" s="34"/>
    </row>
    <row r="512" spans="4:4" ht="35.1" customHeight="1" x14ac:dyDescent="0.25">
      <c r="D512" s="34"/>
    </row>
    <row r="513" spans="4:4" ht="35.1" customHeight="1" x14ac:dyDescent="0.25">
      <c r="D513" s="34"/>
    </row>
    <row r="514" spans="4:4" ht="35.1" customHeight="1" x14ac:dyDescent="0.25">
      <c r="D514" s="34"/>
    </row>
    <row r="515" spans="4:4" ht="35.1" customHeight="1" x14ac:dyDescent="0.25">
      <c r="D515" s="34"/>
    </row>
    <row r="516" spans="4:4" ht="35.1" customHeight="1" x14ac:dyDescent="0.25">
      <c r="D516" s="34"/>
    </row>
    <row r="517" spans="4:4" ht="35.1" customHeight="1" x14ac:dyDescent="0.25">
      <c r="D517" s="34"/>
    </row>
    <row r="518" spans="4:4" ht="35.1" customHeight="1" x14ac:dyDescent="0.25">
      <c r="D518" s="34"/>
    </row>
    <row r="519" spans="4:4" ht="35.1" customHeight="1" x14ac:dyDescent="0.25">
      <c r="D519" s="34"/>
    </row>
    <row r="520" spans="4:4" ht="35.1" customHeight="1" x14ac:dyDescent="0.25">
      <c r="D520" s="34"/>
    </row>
    <row r="521" spans="4:4" ht="35.1" customHeight="1" x14ac:dyDescent="0.25">
      <c r="D521" s="34"/>
    </row>
    <row r="522" spans="4:4" ht="35.1" customHeight="1" x14ac:dyDescent="0.25">
      <c r="D522" s="34"/>
    </row>
    <row r="523" spans="4:4" ht="35.1" customHeight="1" x14ac:dyDescent="0.25">
      <c r="D523" s="34"/>
    </row>
    <row r="524" spans="4:4" ht="35.1" customHeight="1" x14ac:dyDescent="0.25">
      <c r="D524" s="34"/>
    </row>
    <row r="525" spans="4:4" ht="35.1" customHeight="1" x14ac:dyDescent="0.25">
      <c r="D525" s="34"/>
    </row>
    <row r="526" spans="4:4" ht="35.1" customHeight="1" x14ac:dyDescent="0.25">
      <c r="D526" s="34"/>
    </row>
    <row r="527" spans="4:4" ht="35.1" customHeight="1" x14ac:dyDescent="0.25">
      <c r="D527" s="34"/>
    </row>
    <row r="528" spans="4:4" ht="35.1" customHeight="1" x14ac:dyDescent="0.25">
      <c r="D528" s="34"/>
    </row>
    <row r="529" spans="4:4" ht="35.1" customHeight="1" x14ac:dyDescent="0.25">
      <c r="D529" s="34"/>
    </row>
    <row r="530" spans="4:4" ht="35.1" customHeight="1" x14ac:dyDescent="0.25">
      <c r="D530" s="34"/>
    </row>
    <row r="531" spans="4:4" ht="35.1" customHeight="1" x14ac:dyDescent="0.25">
      <c r="D531" s="34"/>
    </row>
    <row r="532" spans="4:4" ht="35.1" customHeight="1" x14ac:dyDescent="0.25">
      <c r="D532" s="34"/>
    </row>
    <row r="533" spans="4:4" ht="35.1" customHeight="1" x14ac:dyDescent="0.25">
      <c r="D533" s="34"/>
    </row>
    <row r="534" spans="4:4" ht="35.1" customHeight="1" x14ac:dyDescent="0.25">
      <c r="D534" s="34"/>
    </row>
    <row r="535" spans="4:4" ht="35.1" customHeight="1" x14ac:dyDescent="0.25">
      <c r="D535" s="34"/>
    </row>
    <row r="536" spans="4:4" ht="35.1" customHeight="1" x14ac:dyDescent="0.25">
      <c r="D536" s="34"/>
    </row>
    <row r="537" spans="4:4" ht="35.1" customHeight="1" x14ac:dyDescent="0.25">
      <c r="D537" s="34"/>
    </row>
    <row r="538" spans="4:4" ht="35.1" customHeight="1" x14ac:dyDescent="0.25">
      <c r="D538" s="34"/>
    </row>
    <row r="539" spans="4:4" ht="35.1" customHeight="1" x14ac:dyDescent="0.25">
      <c r="D539" s="34"/>
    </row>
    <row r="540" spans="4:4" ht="35.1" customHeight="1" x14ac:dyDescent="0.25">
      <c r="D540" s="34"/>
    </row>
    <row r="541" spans="4:4" ht="35.1" customHeight="1" x14ac:dyDescent="0.25">
      <c r="D541" s="34"/>
    </row>
    <row r="542" spans="4:4" ht="35.1" customHeight="1" x14ac:dyDescent="0.25">
      <c r="D542" s="34"/>
    </row>
    <row r="543" spans="4:4" ht="35.1" customHeight="1" x14ac:dyDescent="0.25">
      <c r="D543" s="34"/>
    </row>
    <row r="544" spans="4:4" ht="35.1" customHeight="1" x14ac:dyDescent="0.25">
      <c r="D544" s="34"/>
    </row>
    <row r="545" spans="4:4" ht="35.1" customHeight="1" x14ac:dyDescent="0.25">
      <c r="D545" s="34"/>
    </row>
    <row r="546" spans="4:4" ht="35.1" customHeight="1" x14ac:dyDescent="0.25">
      <c r="D546" s="34"/>
    </row>
    <row r="547" spans="4:4" ht="35.1" customHeight="1" x14ac:dyDescent="0.25">
      <c r="D547" s="34"/>
    </row>
    <row r="548" spans="4:4" ht="35.1" customHeight="1" x14ac:dyDescent="0.25">
      <c r="D548" s="34"/>
    </row>
    <row r="549" spans="4:4" ht="35.1" customHeight="1" x14ac:dyDescent="0.25">
      <c r="D549" s="34"/>
    </row>
    <row r="550" spans="4:4" ht="35.1" customHeight="1" x14ac:dyDescent="0.25">
      <c r="D550" s="34"/>
    </row>
    <row r="551" spans="4:4" ht="35.1" customHeight="1" x14ac:dyDescent="0.25">
      <c r="D551" s="34"/>
    </row>
    <row r="552" spans="4:4" ht="35.1" customHeight="1" x14ac:dyDescent="0.25">
      <c r="D552" s="34"/>
    </row>
    <row r="553" spans="4:4" ht="35.1" customHeight="1" x14ac:dyDescent="0.25">
      <c r="D553" s="34"/>
    </row>
    <row r="554" spans="4:4" ht="35.1" customHeight="1" x14ac:dyDescent="0.25">
      <c r="D554" s="34"/>
    </row>
    <row r="555" spans="4:4" ht="35.1" customHeight="1" x14ac:dyDescent="0.25">
      <c r="D555" s="34"/>
    </row>
    <row r="556" spans="4:4" ht="35.1" customHeight="1" x14ac:dyDescent="0.25">
      <c r="D556" s="34"/>
    </row>
    <row r="557" spans="4:4" ht="35.1" customHeight="1" x14ac:dyDescent="0.25">
      <c r="D557" s="34"/>
    </row>
    <row r="558" spans="4:4" ht="35.1" customHeight="1" x14ac:dyDescent="0.25">
      <c r="D558" s="34"/>
    </row>
    <row r="559" spans="4:4" ht="35.1" customHeight="1" x14ac:dyDescent="0.25">
      <c r="D559" s="34"/>
    </row>
    <row r="560" spans="4:4" ht="35.1" customHeight="1" x14ac:dyDescent="0.25">
      <c r="D560" s="34"/>
    </row>
    <row r="561" spans="4:4" ht="35.1" customHeight="1" x14ac:dyDescent="0.25">
      <c r="D561" s="34"/>
    </row>
    <row r="562" spans="4:4" ht="35.1" customHeight="1" x14ac:dyDescent="0.25">
      <c r="D562" s="34"/>
    </row>
    <row r="563" spans="4:4" ht="35.1" customHeight="1" x14ac:dyDescent="0.25">
      <c r="D563" s="34"/>
    </row>
    <row r="564" spans="4:4" ht="35.1" customHeight="1" x14ac:dyDescent="0.25">
      <c r="D564" s="34"/>
    </row>
    <row r="565" spans="4:4" ht="35.1" customHeight="1" x14ac:dyDescent="0.25">
      <c r="D565" s="34"/>
    </row>
    <row r="566" spans="4:4" ht="35.1" customHeight="1" x14ac:dyDescent="0.25">
      <c r="D566" s="34"/>
    </row>
    <row r="567" spans="4:4" ht="35.1" customHeight="1" x14ac:dyDescent="0.25">
      <c r="D567" s="34"/>
    </row>
    <row r="568" spans="4:4" ht="35.1" customHeight="1" x14ac:dyDescent="0.25">
      <c r="D568" s="34"/>
    </row>
    <row r="569" spans="4:4" ht="35.1" customHeight="1" x14ac:dyDescent="0.25">
      <c r="D569" s="34"/>
    </row>
    <row r="570" spans="4:4" ht="35.1" customHeight="1" x14ac:dyDescent="0.25">
      <c r="D570" s="34"/>
    </row>
    <row r="571" spans="4:4" ht="35.1" customHeight="1" x14ac:dyDescent="0.25">
      <c r="D571" s="34"/>
    </row>
    <row r="572" spans="4:4" ht="35.1" customHeight="1" x14ac:dyDescent="0.25">
      <c r="D572" s="34"/>
    </row>
    <row r="573" spans="4:4" ht="35.1" customHeight="1" x14ac:dyDescent="0.25">
      <c r="D573" s="34"/>
    </row>
    <row r="574" spans="4:4" ht="35.1" customHeight="1" x14ac:dyDescent="0.25">
      <c r="D574" s="34"/>
    </row>
    <row r="575" spans="4:4" ht="35.1" customHeight="1" x14ac:dyDescent="0.25">
      <c r="D575" s="34"/>
    </row>
    <row r="576" spans="4:4" ht="35.1" customHeight="1" x14ac:dyDescent="0.25">
      <c r="D576" s="34"/>
    </row>
    <row r="577" spans="4:4" ht="35.1" customHeight="1" x14ac:dyDescent="0.25">
      <c r="D577" s="34"/>
    </row>
    <row r="578" spans="4:4" ht="35.1" customHeight="1" x14ac:dyDescent="0.25">
      <c r="D578" s="34"/>
    </row>
    <row r="579" spans="4:4" ht="35.1" customHeight="1" x14ac:dyDescent="0.25">
      <c r="D579" s="34"/>
    </row>
    <row r="580" spans="4:4" ht="35.1" customHeight="1" x14ac:dyDescent="0.25">
      <c r="D580" s="34"/>
    </row>
    <row r="581" spans="4:4" ht="35.1" customHeight="1" x14ac:dyDescent="0.25">
      <c r="D581" s="34"/>
    </row>
    <row r="582" spans="4:4" ht="35.1" customHeight="1" x14ac:dyDescent="0.25">
      <c r="D582" s="34"/>
    </row>
    <row r="583" spans="4:4" ht="35.1" customHeight="1" x14ac:dyDescent="0.25">
      <c r="D583" s="34"/>
    </row>
    <row r="584" spans="4:4" ht="35.1" customHeight="1" x14ac:dyDescent="0.25">
      <c r="D584" s="34"/>
    </row>
    <row r="585" spans="4:4" ht="35.1" customHeight="1" x14ac:dyDescent="0.25">
      <c r="D585" s="34"/>
    </row>
    <row r="586" spans="4:4" ht="35.1" customHeight="1" x14ac:dyDescent="0.25">
      <c r="D586" s="34"/>
    </row>
    <row r="587" spans="4:4" ht="35.1" customHeight="1" x14ac:dyDescent="0.25">
      <c r="D587" s="34"/>
    </row>
    <row r="588" spans="4:4" ht="35.1" customHeight="1" x14ac:dyDescent="0.25">
      <c r="D588" s="34"/>
    </row>
    <row r="589" spans="4:4" ht="35.1" customHeight="1" x14ac:dyDescent="0.25">
      <c r="D589" s="34"/>
    </row>
    <row r="590" spans="4:4" ht="35.1" customHeight="1" x14ac:dyDescent="0.25">
      <c r="D590" s="34"/>
    </row>
    <row r="591" spans="4:4" ht="35.1" customHeight="1" x14ac:dyDescent="0.25">
      <c r="D591" s="34"/>
    </row>
    <row r="592" spans="4:4" ht="35.1" customHeight="1" x14ac:dyDescent="0.25">
      <c r="D592" s="34"/>
    </row>
    <row r="593" spans="4:4" ht="35.1" customHeight="1" x14ac:dyDescent="0.25">
      <c r="D593" s="34"/>
    </row>
    <row r="594" spans="4:4" ht="35.1" customHeight="1" x14ac:dyDescent="0.25">
      <c r="D594" s="34"/>
    </row>
    <row r="595" spans="4:4" ht="35.1" customHeight="1" x14ac:dyDescent="0.25">
      <c r="D595" s="34"/>
    </row>
    <row r="596" spans="4:4" ht="35.1" customHeight="1" x14ac:dyDescent="0.25">
      <c r="D596" s="34"/>
    </row>
    <row r="597" spans="4:4" ht="35.1" customHeight="1" x14ac:dyDescent="0.25">
      <c r="D597" s="34"/>
    </row>
    <row r="598" spans="4:4" ht="35.1" customHeight="1" x14ac:dyDescent="0.25">
      <c r="D598" s="34"/>
    </row>
    <row r="599" spans="4:4" ht="35.1" customHeight="1" x14ac:dyDescent="0.25">
      <c r="D599" s="34"/>
    </row>
    <row r="600" spans="4:4" ht="35.1" customHeight="1" x14ac:dyDescent="0.25">
      <c r="D600" s="34"/>
    </row>
    <row r="601" spans="4:4" ht="35.1" customHeight="1" x14ac:dyDescent="0.25">
      <c r="D601" s="34"/>
    </row>
    <row r="602" spans="4:4" ht="35.1" customHeight="1" x14ac:dyDescent="0.25">
      <c r="D602" s="34"/>
    </row>
    <row r="603" spans="4:4" ht="35.1" customHeight="1" x14ac:dyDescent="0.25">
      <c r="D603" s="34"/>
    </row>
    <row r="604" spans="4:4" ht="35.1" customHeight="1" x14ac:dyDescent="0.25">
      <c r="D604" s="34"/>
    </row>
    <row r="605" spans="4:4" ht="35.1" customHeight="1" x14ac:dyDescent="0.25">
      <c r="D605" s="34"/>
    </row>
    <row r="606" spans="4:4" ht="35.1" customHeight="1" x14ac:dyDescent="0.25">
      <c r="D606" s="34"/>
    </row>
    <row r="607" spans="4:4" ht="35.1" customHeight="1" x14ac:dyDescent="0.25">
      <c r="D607" s="34"/>
    </row>
    <row r="608" spans="4:4" ht="35.1" customHeight="1" x14ac:dyDescent="0.25">
      <c r="D608" s="34"/>
    </row>
    <row r="609" spans="4:4" ht="35.1" customHeight="1" x14ac:dyDescent="0.25">
      <c r="D609" s="34"/>
    </row>
    <row r="610" spans="4:4" ht="35.1" customHeight="1" x14ac:dyDescent="0.25">
      <c r="D610" s="34"/>
    </row>
    <row r="611" spans="4:4" ht="35.1" customHeight="1" x14ac:dyDescent="0.25">
      <c r="D611" s="34"/>
    </row>
    <row r="612" spans="4:4" ht="35.1" customHeight="1" x14ac:dyDescent="0.25">
      <c r="D612" s="34"/>
    </row>
    <row r="613" spans="4:4" ht="35.1" customHeight="1" x14ac:dyDescent="0.25">
      <c r="D613" s="34"/>
    </row>
    <row r="614" spans="4:4" ht="35.1" customHeight="1" x14ac:dyDescent="0.25">
      <c r="D614" s="34"/>
    </row>
    <row r="615" spans="4:4" ht="35.1" customHeight="1" x14ac:dyDescent="0.25">
      <c r="D615" s="34"/>
    </row>
    <row r="616" spans="4:4" ht="35.1" customHeight="1" x14ac:dyDescent="0.25">
      <c r="D616" s="34"/>
    </row>
    <row r="617" spans="4:4" ht="35.1" customHeight="1" x14ac:dyDescent="0.25">
      <c r="D617" s="34"/>
    </row>
    <row r="618" spans="4:4" ht="35.1" customHeight="1" x14ac:dyDescent="0.25">
      <c r="D618" s="34"/>
    </row>
    <row r="619" spans="4:4" ht="35.1" customHeight="1" x14ac:dyDescent="0.25">
      <c r="D619" s="34"/>
    </row>
    <row r="620" spans="4:4" ht="35.1" customHeight="1" x14ac:dyDescent="0.25">
      <c r="D620" s="34"/>
    </row>
    <row r="621" spans="4:4" ht="35.1" customHeight="1" x14ac:dyDescent="0.25">
      <c r="D621" s="34"/>
    </row>
    <row r="622" spans="4:4" ht="35.1" customHeight="1" x14ac:dyDescent="0.25">
      <c r="D622" s="34"/>
    </row>
    <row r="623" spans="4:4" ht="35.1" customHeight="1" x14ac:dyDescent="0.25">
      <c r="D623" s="34"/>
    </row>
    <row r="624" spans="4:4" ht="35.1" customHeight="1" x14ac:dyDescent="0.25">
      <c r="D624" s="34"/>
    </row>
    <row r="625" spans="4:4" ht="35.1" customHeight="1" x14ac:dyDescent="0.25">
      <c r="D625" s="34"/>
    </row>
    <row r="626" spans="4:4" ht="35.1" customHeight="1" x14ac:dyDescent="0.25">
      <c r="D626" s="34"/>
    </row>
    <row r="627" spans="4:4" ht="35.1" customHeight="1" x14ac:dyDescent="0.25">
      <c r="D627" s="34"/>
    </row>
    <row r="628" spans="4:4" ht="35.1" customHeight="1" x14ac:dyDescent="0.25">
      <c r="D628" s="34"/>
    </row>
    <row r="629" spans="4:4" ht="35.1" customHeight="1" x14ac:dyDescent="0.25">
      <c r="D629" s="34"/>
    </row>
    <row r="630" spans="4:4" ht="35.1" customHeight="1" x14ac:dyDescent="0.25">
      <c r="D630" s="34"/>
    </row>
    <row r="631" spans="4:4" ht="35.1" customHeight="1" x14ac:dyDescent="0.25">
      <c r="D631" s="34"/>
    </row>
    <row r="632" spans="4:4" ht="35.1" customHeight="1" x14ac:dyDescent="0.25">
      <c r="D632" s="34"/>
    </row>
    <row r="633" spans="4:4" ht="35.1" customHeight="1" x14ac:dyDescent="0.25">
      <c r="D633" s="34"/>
    </row>
    <row r="634" spans="4:4" ht="35.1" customHeight="1" x14ac:dyDescent="0.25">
      <c r="D634" s="34"/>
    </row>
    <row r="635" spans="4:4" ht="35.1" customHeight="1" x14ac:dyDescent="0.25">
      <c r="D635" s="34"/>
    </row>
    <row r="636" spans="4:4" ht="35.1" customHeight="1" x14ac:dyDescent="0.25">
      <c r="D636" s="34"/>
    </row>
    <row r="637" spans="4:4" ht="35.1" customHeight="1" x14ac:dyDescent="0.25">
      <c r="D637" s="34"/>
    </row>
    <row r="638" spans="4:4" ht="35.1" customHeight="1" x14ac:dyDescent="0.25">
      <c r="D638" s="34"/>
    </row>
    <row r="639" spans="4:4" ht="35.1" customHeight="1" x14ac:dyDescent="0.25">
      <c r="D639" s="34"/>
    </row>
    <row r="640" spans="4:4" ht="35.1" customHeight="1" x14ac:dyDescent="0.25">
      <c r="D640" s="34"/>
    </row>
    <row r="641" spans="4:4" ht="35.1" customHeight="1" x14ac:dyDescent="0.25">
      <c r="D641" s="34"/>
    </row>
    <row r="642" spans="4:4" ht="35.1" customHeight="1" x14ac:dyDescent="0.25">
      <c r="D642" s="34"/>
    </row>
    <row r="643" spans="4:4" ht="35.1" customHeight="1" x14ac:dyDescent="0.25">
      <c r="D643" s="34"/>
    </row>
    <row r="644" spans="4:4" ht="35.1" customHeight="1" x14ac:dyDescent="0.25">
      <c r="D644" s="34"/>
    </row>
    <row r="645" spans="4:4" ht="35.1" customHeight="1" x14ac:dyDescent="0.25">
      <c r="D645" s="34"/>
    </row>
    <row r="646" spans="4:4" ht="35.1" customHeight="1" x14ac:dyDescent="0.25">
      <c r="D646" s="34"/>
    </row>
    <row r="647" spans="4:4" ht="35.1" customHeight="1" x14ac:dyDescent="0.25">
      <c r="D647" s="34"/>
    </row>
    <row r="648" spans="4:4" ht="35.1" customHeight="1" x14ac:dyDescent="0.25">
      <c r="D648" s="34"/>
    </row>
    <row r="649" spans="4:4" ht="35.1" customHeight="1" x14ac:dyDescent="0.25">
      <c r="D649" s="34"/>
    </row>
    <row r="650" spans="4:4" ht="35.1" customHeight="1" x14ac:dyDescent="0.25">
      <c r="D650" s="34"/>
    </row>
    <row r="651" spans="4:4" ht="35.1" customHeight="1" x14ac:dyDescent="0.25">
      <c r="D651" s="34"/>
    </row>
    <row r="652" spans="4:4" ht="35.1" customHeight="1" x14ac:dyDescent="0.25">
      <c r="D652" s="34"/>
    </row>
    <row r="653" spans="4:4" ht="35.1" customHeight="1" x14ac:dyDescent="0.25">
      <c r="D653" s="34"/>
    </row>
    <row r="654" spans="4:4" ht="35.1" customHeight="1" x14ac:dyDescent="0.25">
      <c r="D654" s="34"/>
    </row>
    <row r="655" spans="4:4" ht="35.1" customHeight="1" x14ac:dyDescent="0.25">
      <c r="D655" s="34"/>
    </row>
    <row r="656" spans="4:4" ht="35.1" customHeight="1" x14ac:dyDescent="0.25">
      <c r="D656" s="34"/>
    </row>
    <row r="657" spans="4:4" ht="35.1" customHeight="1" x14ac:dyDescent="0.25">
      <c r="D657" s="34"/>
    </row>
    <row r="658" spans="4:4" ht="35.1" customHeight="1" x14ac:dyDescent="0.25">
      <c r="D658" s="34"/>
    </row>
    <row r="659" spans="4:4" ht="35.1" customHeight="1" x14ac:dyDescent="0.25">
      <c r="D659" s="34"/>
    </row>
    <row r="660" spans="4:4" ht="35.1" customHeight="1" x14ac:dyDescent="0.25">
      <c r="D660" s="34"/>
    </row>
    <row r="661" spans="4:4" ht="35.1" customHeight="1" x14ac:dyDescent="0.25">
      <c r="D661" s="34"/>
    </row>
    <row r="662" spans="4:4" ht="35.1" customHeight="1" x14ac:dyDescent="0.25">
      <c r="D662" s="34"/>
    </row>
    <row r="663" spans="4:4" ht="35.1" customHeight="1" x14ac:dyDescent="0.25">
      <c r="D663" s="34"/>
    </row>
    <row r="664" spans="4:4" ht="35.1" customHeight="1" x14ac:dyDescent="0.25">
      <c r="D664" s="34"/>
    </row>
    <row r="665" spans="4:4" ht="35.1" customHeight="1" x14ac:dyDescent="0.25">
      <c r="D665" s="34"/>
    </row>
    <row r="666" spans="4:4" ht="35.1" customHeight="1" x14ac:dyDescent="0.25">
      <c r="D666" s="34"/>
    </row>
    <row r="667" spans="4:4" ht="35.1" customHeight="1" x14ac:dyDescent="0.25">
      <c r="D667" s="34"/>
    </row>
    <row r="668" spans="4:4" ht="35.1" customHeight="1" x14ac:dyDescent="0.25">
      <c r="D668" s="34"/>
    </row>
    <row r="669" spans="4:4" ht="35.1" customHeight="1" x14ac:dyDescent="0.25">
      <c r="D669" s="34"/>
    </row>
  </sheetData>
  <mergeCells count="117">
    <mergeCell ref="B152:I152"/>
    <mergeCell ref="B88:B91"/>
    <mergeCell ref="D88:D90"/>
    <mergeCell ref="B92:I92"/>
    <mergeCell ref="B148:B151"/>
    <mergeCell ref="D148:D150"/>
    <mergeCell ref="E149:E150"/>
    <mergeCell ref="F149:F150"/>
    <mergeCell ref="G149:G150"/>
    <mergeCell ref="B138:I138"/>
    <mergeCell ref="H135:H136"/>
    <mergeCell ref="B131:I131"/>
    <mergeCell ref="B113:B116"/>
    <mergeCell ref="F135:F136"/>
    <mergeCell ref="G135:G136"/>
    <mergeCell ref="H128:H129"/>
    <mergeCell ref="H149:H150"/>
    <mergeCell ref="D113:D115"/>
    <mergeCell ref="B117:I117"/>
    <mergeCell ref="D106:E106"/>
    <mergeCell ref="D112:E112"/>
    <mergeCell ref="C113:C116"/>
    <mergeCell ref="C107:C109"/>
    <mergeCell ref="H142:H143"/>
    <mergeCell ref="J149:J150"/>
    <mergeCell ref="J135:J136"/>
    <mergeCell ref="B63:B71"/>
    <mergeCell ref="C63:C71"/>
    <mergeCell ref="D63:D69"/>
    <mergeCell ref="B72:I72"/>
    <mergeCell ref="B75:B77"/>
    <mergeCell ref="D75:D76"/>
    <mergeCell ref="B78:I78"/>
    <mergeCell ref="J128:J129"/>
    <mergeCell ref="B101:B103"/>
    <mergeCell ref="D101:D102"/>
    <mergeCell ref="B104:I104"/>
    <mergeCell ref="B110:I110"/>
    <mergeCell ref="B107:B109"/>
    <mergeCell ref="J142:J143"/>
    <mergeCell ref="B145:I145"/>
    <mergeCell ref="B141:B144"/>
    <mergeCell ref="D141:D143"/>
    <mergeCell ref="E142:E143"/>
    <mergeCell ref="F142:F143"/>
    <mergeCell ref="G142:G143"/>
    <mergeCell ref="H82:H83"/>
    <mergeCell ref="J82:J83"/>
    <mergeCell ref="B81:B84"/>
    <mergeCell ref="D81:D83"/>
    <mergeCell ref="E82:E83"/>
    <mergeCell ref="F82:F83"/>
    <mergeCell ref="G82:G83"/>
    <mergeCell ref="B95:B97"/>
    <mergeCell ref="D95:D96"/>
    <mergeCell ref="B98:I98"/>
    <mergeCell ref="B1:J1"/>
    <mergeCell ref="B2:J2"/>
    <mergeCell ref="B4:B13"/>
    <mergeCell ref="C4:C13"/>
    <mergeCell ref="D4:D12"/>
    <mergeCell ref="D3:E3"/>
    <mergeCell ref="B41:B47"/>
    <mergeCell ref="C41:C47"/>
    <mergeCell ref="D41:D46"/>
    <mergeCell ref="B14:I14"/>
    <mergeCell ref="B17:B27"/>
    <mergeCell ref="D51:D55"/>
    <mergeCell ref="C81:C84"/>
    <mergeCell ref="C75:C77"/>
    <mergeCell ref="B120:B123"/>
    <mergeCell ref="D120:D122"/>
    <mergeCell ref="B124:I124"/>
    <mergeCell ref="B127:B130"/>
    <mergeCell ref="D127:D129"/>
    <mergeCell ref="E128:E129"/>
    <mergeCell ref="F128:F129"/>
    <mergeCell ref="G128:G129"/>
    <mergeCell ref="B85:I85"/>
    <mergeCell ref="C95:C97"/>
    <mergeCell ref="C88:C91"/>
    <mergeCell ref="C101:C103"/>
    <mergeCell ref="D107:D108"/>
    <mergeCell ref="B134:B137"/>
    <mergeCell ref="D134:D136"/>
    <mergeCell ref="E135:E136"/>
    <mergeCell ref="D74:E74"/>
    <mergeCell ref="D80:E80"/>
    <mergeCell ref="D87:E87"/>
    <mergeCell ref="D94:E94"/>
    <mergeCell ref="D100:E100"/>
    <mergeCell ref="D16:E16"/>
    <mergeCell ref="D30:E30"/>
    <mergeCell ref="D40:E40"/>
    <mergeCell ref="D50:E50"/>
    <mergeCell ref="D62:E62"/>
    <mergeCell ref="B38:I38"/>
    <mergeCell ref="C17:C27"/>
    <mergeCell ref="D17:D23"/>
    <mergeCell ref="B28:I28"/>
    <mergeCell ref="B31:B37"/>
    <mergeCell ref="C31:C37"/>
    <mergeCell ref="D31:D36"/>
    <mergeCell ref="B60:I60"/>
    <mergeCell ref="B48:I48"/>
    <mergeCell ref="B51:B59"/>
    <mergeCell ref="C51:C59"/>
    <mergeCell ref="C148:C150"/>
    <mergeCell ref="C141:C143"/>
    <mergeCell ref="C134:C136"/>
    <mergeCell ref="C127:C129"/>
    <mergeCell ref="C120:C122"/>
    <mergeCell ref="D119:E119"/>
    <mergeCell ref="D126:E126"/>
    <mergeCell ref="D133:E133"/>
    <mergeCell ref="D140:E140"/>
    <mergeCell ref="D147:E147"/>
  </mergeCells>
  <hyperlinks>
    <hyperlink ref="L2" location="cover!A1" display="cover!A1" xr:uid="{00000000-0004-0000-0D00-000000000000}"/>
  </hyperlinks>
  <pageMargins left="0.70866141732283472" right="1.26" top="0.74803149606299213" bottom="0.74803149606299213" header="0.32" footer="0.31496062992125984"/>
  <pageSetup paperSize="9" scale="33" orientation="portrait" r:id="rId1"/>
  <headerFooter>
    <oddFooter>&amp;L&amp;P&amp;Cتحليل اسعار بنود الاعمال مشروع فانتازيا&amp;R&amp;D</oddFooter>
  </headerFooter>
  <rowBreaks count="1" manualBreakCount="1">
    <brk id="124" min="1" max="9"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3"/>
    <pageSetUpPr fitToPage="1"/>
  </sheetPr>
  <dimension ref="A1:J86"/>
  <sheetViews>
    <sheetView rightToLeft="1" topLeftCell="B1" zoomScale="80" zoomScaleNormal="80" workbookViewId="0">
      <selection activeCell="B1" sqref="B1:E1"/>
    </sheetView>
  </sheetViews>
  <sheetFormatPr defaultRowHeight="15" x14ac:dyDescent="0.25"/>
  <cols>
    <col min="1" max="1" width="3" hidden="1" customWidth="1"/>
    <col min="2" max="2" width="5.85546875" customWidth="1"/>
    <col min="3" max="3" width="32.5703125" customWidth="1"/>
    <col min="4" max="4" width="16.42578125" customWidth="1"/>
    <col min="5" max="5" width="10.42578125" customWidth="1"/>
    <col min="6" max="6" width="0" hidden="1" customWidth="1"/>
    <col min="7" max="7" width="19.140625" customWidth="1"/>
  </cols>
  <sheetData>
    <row r="1" spans="2:7" ht="42" customHeight="1" thickBot="1" x14ac:dyDescent="0.3">
      <c r="B1" s="1171"/>
      <c r="C1" s="1171"/>
      <c r="D1" s="1171"/>
      <c r="E1" s="1171"/>
    </row>
    <row r="2" spans="2:7" ht="35.25" customHeight="1" thickBot="1" x14ac:dyDescent="0.3">
      <c r="B2" s="1170" t="s">
        <v>286</v>
      </c>
      <c r="C2" s="1170"/>
      <c r="D2" s="1170"/>
      <c r="E2" s="1170"/>
      <c r="G2" s="380" t="s">
        <v>1171</v>
      </c>
    </row>
    <row r="3" spans="2:7" ht="21" thickBot="1" x14ac:dyDescent="0.3">
      <c r="B3" s="40" t="s">
        <v>0</v>
      </c>
      <c r="C3" s="40" t="s">
        <v>266</v>
      </c>
      <c r="D3" s="40" t="s">
        <v>267</v>
      </c>
      <c r="E3" s="40" t="s">
        <v>4</v>
      </c>
      <c r="F3" s="150" t="s">
        <v>458</v>
      </c>
    </row>
    <row r="4" spans="2:7" s="790" customFormat="1" ht="31.5" x14ac:dyDescent="0.5">
      <c r="B4" s="791"/>
      <c r="C4" s="792" t="s">
        <v>1203</v>
      </c>
      <c r="D4" s="792"/>
      <c r="E4" s="792"/>
    </row>
    <row r="5" spans="2:7" ht="20.25" x14ac:dyDescent="0.25">
      <c r="B5" s="40">
        <v>1</v>
      </c>
      <c r="C5" s="40" t="s">
        <v>293</v>
      </c>
      <c r="D5" s="40" t="s">
        <v>12</v>
      </c>
      <c r="E5" s="40">
        <v>310</v>
      </c>
      <c r="F5" t="s">
        <v>459</v>
      </c>
    </row>
    <row r="6" spans="2:7" ht="20.25" x14ac:dyDescent="0.25">
      <c r="B6" s="40">
        <v>2</v>
      </c>
      <c r="C6" s="40" t="s">
        <v>292</v>
      </c>
      <c r="D6" s="40" t="s">
        <v>12</v>
      </c>
      <c r="E6" s="40">
        <v>378</v>
      </c>
    </row>
    <row r="7" spans="2:7" ht="20.25" x14ac:dyDescent="0.25">
      <c r="B7" s="40">
        <v>3</v>
      </c>
      <c r="C7" s="40" t="s">
        <v>18</v>
      </c>
      <c r="D7" s="40" t="s">
        <v>19</v>
      </c>
      <c r="E7" s="40">
        <v>650</v>
      </c>
    </row>
    <row r="8" spans="2:7" ht="20.25" x14ac:dyDescent="0.25">
      <c r="B8" s="40">
        <v>4</v>
      </c>
      <c r="C8" s="40" t="s">
        <v>268</v>
      </c>
      <c r="D8" s="40" t="s">
        <v>12</v>
      </c>
      <c r="E8" s="40">
        <v>35</v>
      </c>
    </row>
    <row r="9" spans="2:7" ht="20.25" x14ac:dyDescent="0.25">
      <c r="B9" s="40">
        <v>5</v>
      </c>
      <c r="C9" s="40" t="s">
        <v>269</v>
      </c>
      <c r="D9" s="40" t="s">
        <v>12</v>
      </c>
      <c r="E9" s="40">
        <v>35</v>
      </c>
    </row>
    <row r="10" spans="2:7" ht="20.25" x14ac:dyDescent="0.25">
      <c r="B10" s="40">
        <v>6</v>
      </c>
      <c r="C10" s="40" t="s">
        <v>270</v>
      </c>
      <c r="D10" s="40" t="s">
        <v>12</v>
      </c>
      <c r="E10" s="86">
        <v>86</v>
      </c>
    </row>
    <row r="11" spans="2:7" ht="20.25" x14ac:dyDescent="0.25">
      <c r="B11" s="40"/>
      <c r="C11" s="40" t="s">
        <v>323</v>
      </c>
      <c r="D11" s="40" t="s">
        <v>12</v>
      </c>
      <c r="E11" s="86">
        <v>80</v>
      </c>
    </row>
    <row r="12" spans="2:7" ht="20.25" x14ac:dyDescent="0.25">
      <c r="B12" s="40">
        <v>7</v>
      </c>
      <c r="C12" s="40" t="s">
        <v>15</v>
      </c>
      <c r="D12" s="40" t="s">
        <v>12</v>
      </c>
      <c r="E12" s="40">
        <v>13</v>
      </c>
    </row>
    <row r="13" spans="2:7" ht="20.25" x14ac:dyDescent="0.25">
      <c r="B13" s="40">
        <v>8</v>
      </c>
      <c r="C13" s="40" t="s">
        <v>38</v>
      </c>
      <c r="D13" s="40" t="s">
        <v>19</v>
      </c>
      <c r="E13" s="40">
        <v>5000</v>
      </c>
    </row>
    <row r="14" spans="2:7" s="790" customFormat="1" ht="31.5" x14ac:dyDescent="0.5">
      <c r="B14" s="791"/>
      <c r="C14" s="792" t="s">
        <v>1202</v>
      </c>
      <c r="D14" s="792"/>
      <c r="E14" s="792"/>
    </row>
    <row r="15" spans="2:7" ht="20.25" x14ac:dyDescent="0.25">
      <c r="B15" s="40">
        <v>9</v>
      </c>
      <c r="C15" s="40" t="s">
        <v>467</v>
      </c>
      <c r="D15" s="40" t="s">
        <v>48</v>
      </c>
      <c r="E15" s="40">
        <v>429</v>
      </c>
    </row>
    <row r="16" spans="2:7" ht="20.25" x14ac:dyDescent="0.25">
      <c r="B16" s="151"/>
      <c r="C16" s="40" t="s">
        <v>466</v>
      </c>
      <c r="D16" s="40" t="s">
        <v>48</v>
      </c>
      <c r="E16" s="40">
        <v>480</v>
      </c>
    </row>
    <row r="17" spans="2:7" ht="20.25" x14ac:dyDescent="0.25">
      <c r="B17" s="40"/>
      <c r="C17" s="40" t="s">
        <v>335</v>
      </c>
      <c r="D17" s="40" t="s">
        <v>48</v>
      </c>
      <c r="E17" s="40">
        <v>275</v>
      </c>
    </row>
    <row r="18" spans="2:7" ht="20.25" x14ac:dyDescent="0.25">
      <c r="B18" s="40">
        <v>10</v>
      </c>
      <c r="C18" s="40" t="s">
        <v>271</v>
      </c>
      <c r="D18" s="40" t="s">
        <v>19</v>
      </c>
      <c r="E18" s="40">
        <v>1000</v>
      </c>
    </row>
    <row r="19" spans="2:7" ht="20.25" x14ac:dyDescent="0.25">
      <c r="B19" s="40">
        <v>11</v>
      </c>
      <c r="C19" s="40" t="s">
        <v>272</v>
      </c>
      <c r="D19" s="40" t="s">
        <v>19</v>
      </c>
      <c r="E19" s="40">
        <v>550</v>
      </c>
    </row>
    <row r="20" spans="2:7" ht="20.25" x14ac:dyDescent="0.25">
      <c r="B20" s="40">
        <v>12</v>
      </c>
      <c r="C20" s="40" t="s">
        <v>273</v>
      </c>
      <c r="D20" s="40" t="s">
        <v>19</v>
      </c>
      <c r="E20" s="40">
        <v>380</v>
      </c>
    </row>
    <row r="21" spans="2:7" s="790" customFormat="1" ht="31.5" x14ac:dyDescent="0.5">
      <c r="B21" s="791"/>
      <c r="C21" s="792" t="s">
        <v>1201</v>
      </c>
      <c r="D21" s="792"/>
      <c r="E21" s="792"/>
    </row>
    <row r="22" spans="2:7" ht="20.25" x14ac:dyDescent="0.25">
      <c r="B22" s="40">
        <v>13</v>
      </c>
      <c r="C22" s="40" t="s">
        <v>274</v>
      </c>
      <c r="D22" s="40" t="s">
        <v>435</v>
      </c>
      <c r="E22" s="40">
        <v>46.4</v>
      </c>
    </row>
    <row r="23" spans="2:7" ht="20.25" x14ac:dyDescent="0.25">
      <c r="B23" s="40">
        <v>14</v>
      </c>
      <c r="C23" s="40" t="s">
        <v>275</v>
      </c>
      <c r="D23" s="40" t="s">
        <v>436</v>
      </c>
      <c r="E23" s="40">
        <v>44</v>
      </c>
    </row>
    <row r="24" spans="2:7" ht="20.25" x14ac:dyDescent="0.25">
      <c r="B24" s="40">
        <v>15</v>
      </c>
      <c r="C24" s="40" t="s">
        <v>277</v>
      </c>
      <c r="D24" s="40" t="s">
        <v>276</v>
      </c>
      <c r="E24" s="40">
        <v>70</v>
      </c>
      <c r="G24">
        <v>10</v>
      </c>
    </row>
    <row r="25" spans="2:7" ht="20.25" x14ac:dyDescent="0.25">
      <c r="B25" s="40">
        <v>16</v>
      </c>
      <c r="C25" s="40" t="s">
        <v>278</v>
      </c>
      <c r="D25" s="40" t="s">
        <v>279</v>
      </c>
      <c r="E25" s="40">
        <v>36</v>
      </c>
    </row>
    <row r="26" spans="2:7" s="790" customFormat="1" ht="31.5" x14ac:dyDescent="0.5">
      <c r="B26" s="791"/>
      <c r="C26" s="792" t="s">
        <v>1200</v>
      </c>
      <c r="D26" s="792"/>
      <c r="E26" s="792"/>
    </row>
    <row r="27" spans="2:7" ht="20.25" x14ac:dyDescent="0.25">
      <c r="B27" s="40">
        <v>17</v>
      </c>
      <c r="C27" s="40" t="s">
        <v>280</v>
      </c>
      <c r="D27" s="40" t="s">
        <v>45</v>
      </c>
      <c r="E27" s="40">
        <v>30</v>
      </c>
    </row>
    <row r="28" spans="2:7" ht="20.25" x14ac:dyDescent="0.25">
      <c r="B28" s="40">
        <v>18</v>
      </c>
      <c r="C28" s="40" t="s">
        <v>281</v>
      </c>
      <c r="D28" s="40" t="s">
        <v>45</v>
      </c>
      <c r="E28" s="40">
        <v>30</v>
      </c>
    </row>
    <row r="29" spans="2:7" ht="40.5" customHeight="1" x14ac:dyDescent="0.25">
      <c r="B29" s="40">
        <v>19</v>
      </c>
      <c r="C29" s="75" t="s">
        <v>337</v>
      </c>
      <c r="D29" s="40" t="s">
        <v>45</v>
      </c>
      <c r="E29" s="40">
        <v>30</v>
      </c>
    </row>
    <row r="30" spans="2:7" ht="20.25" x14ac:dyDescent="0.25">
      <c r="B30" s="40">
        <v>20</v>
      </c>
      <c r="C30" s="40" t="s">
        <v>287</v>
      </c>
      <c r="D30" s="40" t="s">
        <v>45</v>
      </c>
      <c r="E30" s="40">
        <v>30</v>
      </c>
    </row>
    <row r="31" spans="2:7" ht="20.25" x14ac:dyDescent="0.25">
      <c r="B31" s="40">
        <v>21</v>
      </c>
      <c r="C31" s="40" t="s">
        <v>288</v>
      </c>
      <c r="D31" s="40" t="s">
        <v>45</v>
      </c>
      <c r="E31" s="40">
        <v>30</v>
      </c>
    </row>
    <row r="32" spans="2:7" ht="20.25" x14ac:dyDescent="0.25">
      <c r="B32" s="40">
        <v>22</v>
      </c>
      <c r="C32" s="40" t="s">
        <v>282</v>
      </c>
      <c r="D32" s="40" t="s">
        <v>45</v>
      </c>
      <c r="E32" s="80">
        <v>12</v>
      </c>
    </row>
    <row r="33" spans="2:10" ht="20.25" x14ac:dyDescent="0.25">
      <c r="B33" s="40">
        <v>23</v>
      </c>
      <c r="C33" s="40" t="s">
        <v>304</v>
      </c>
      <c r="D33" s="40" t="s">
        <v>45</v>
      </c>
      <c r="E33" s="80">
        <v>50</v>
      </c>
    </row>
    <row r="34" spans="2:10" ht="20.25" x14ac:dyDescent="0.25">
      <c r="B34" s="40">
        <v>24</v>
      </c>
      <c r="C34" s="40" t="s">
        <v>283</v>
      </c>
      <c r="D34" s="40" t="s">
        <v>284</v>
      </c>
      <c r="E34" s="80">
        <v>50</v>
      </c>
      <c r="F34" s="87"/>
      <c r="G34" s="87"/>
      <c r="H34" s="87"/>
      <c r="I34" s="87"/>
      <c r="J34" s="87"/>
    </row>
    <row r="35" spans="2:10" s="790" customFormat="1" ht="31.5" x14ac:dyDescent="0.5">
      <c r="B35" s="791"/>
      <c r="C35" s="792" t="s">
        <v>1199</v>
      </c>
      <c r="D35" s="792"/>
      <c r="E35" s="792"/>
    </row>
    <row r="36" spans="2:10" ht="20.25" x14ac:dyDescent="0.25">
      <c r="B36" s="40">
        <v>25</v>
      </c>
      <c r="C36" s="40" t="s">
        <v>285</v>
      </c>
      <c r="D36" s="40" t="s">
        <v>12</v>
      </c>
      <c r="E36" s="40">
        <v>2400</v>
      </c>
    </row>
    <row r="37" spans="2:10" ht="20.25" x14ac:dyDescent="0.25">
      <c r="B37" s="40">
        <v>26</v>
      </c>
      <c r="C37" s="40" t="s">
        <v>134</v>
      </c>
      <c r="D37" s="40" t="s">
        <v>70</v>
      </c>
      <c r="E37" s="40">
        <v>45</v>
      </c>
    </row>
    <row r="38" spans="2:10" ht="20.25" x14ac:dyDescent="0.25">
      <c r="B38" s="40">
        <v>27</v>
      </c>
      <c r="C38" s="40" t="s">
        <v>336</v>
      </c>
      <c r="D38" s="40" t="s">
        <v>70</v>
      </c>
      <c r="E38" s="40">
        <v>120</v>
      </c>
    </row>
    <row r="39" spans="2:10" ht="20.25" x14ac:dyDescent="0.25">
      <c r="B39" s="40">
        <v>28</v>
      </c>
      <c r="C39" s="40" t="s">
        <v>229</v>
      </c>
      <c r="D39" s="40" t="s">
        <v>70</v>
      </c>
      <c r="E39" s="40">
        <v>0.66</v>
      </c>
    </row>
    <row r="40" spans="2:10" ht="20.25" x14ac:dyDescent="0.25">
      <c r="B40" s="40">
        <v>29</v>
      </c>
      <c r="C40" s="40" t="s">
        <v>427</v>
      </c>
      <c r="D40" s="40" t="s">
        <v>70</v>
      </c>
      <c r="E40" s="40">
        <v>3.85</v>
      </c>
    </row>
    <row r="41" spans="2:10" ht="20.25" x14ac:dyDescent="0.25">
      <c r="B41" s="40">
        <v>30</v>
      </c>
      <c r="C41" s="40" t="s">
        <v>428</v>
      </c>
      <c r="D41" s="40" t="s">
        <v>70</v>
      </c>
      <c r="E41" s="40">
        <v>27.5</v>
      </c>
    </row>
    <row r="42" spans="2:10" ht="20.25" x14ac:dyDescent="0.25">
      <c r="B42" s="40">
        <v>31</v>
      </c>
      <c r="C42" s="40" t="s">
        <v>234</v>
      </c>
      <c r="D42" s="40" t="s">
        <v>70</v>
      </c>
      <c r="E42" s="40">
        <v>38.5</v>
      </c>
    </row>
    <row r="43" spans="2:10" ht="20.25" x14ac:dyDescent="0.25">
      <c r="B43" s="40">
        <v>32</v>
      </c>
      <c r="C43" s="40" t="s">
        <v>429</v>
      </c>
      <c r="D43" s="40" t="s">
        <v>70</v>
      </c>
      <c r="E43" s="40">
        <v>29.7</v>
      </c>
    </row>
    <row r="44" spans="2:10" ht="20.25" x14ac:dyDescent="0.25">
      <c r="B44" s="40">
        <v>33</v>
      </c>
      <c r="C44" s="40" t="s">
        <v>236</v>
      </c>
      <c r="D44" s="40" t="s">
        <v>70</v>
      </c>
      <c r="E44" s="40">
        <v>40.700000000000003</v>
      </c>
    </row>
    <row r="45" spans="2:10" ht="20.25" x14ac:dyDescent="0.25">
      <c r="B45" s="40">
        <v>34</v>
      </c>
      <c r="C45" s="40" t="s">
        <v>430</v>
      </c>
      <c r="D45" s="40" t="s">
        <v>70</v>
      </c>
      <c r="E45" s="40">
        <v>55</v>
      </c>
    </row>
    <row r="46" spans="2:10" ht="20.25" x14ac:dyDescent="0.25">
      <c r="B46" s="40">
        <v>35</v>
      </c>
      <c r="C46" s="40" t="s">
        <v>431</v>
      </c>
      <c r="D46" s="40" t="s">
        <v>70</v>
      </c>
      <c r="E46" s="40">
        <v>33</v>
      </c>
    </row>
    <row r="47" spans="2:10" ht="20.25" x14ac:dyDescent="0.25">
      <c r="B47" s="40">
        <v>36</v>
      </c>
      <c r="C47" s="40" t="s">
        <v>432</v>
      </c>
      <c r="D47" s="40" t="s">
        <v>70</v>
      </c>
      <c r="E47" s="40">
        <v>22</v>
      </c>
    </row>
    <row r="48" spans="2:10" s="83" customFormat="1" ht="20.25" x14ac:dyDescent="0.25">
      <c r="B48" s="40">
        <v>37</v>
      </c>
      <c r="C48" s="75" t="s">
        <v>328</v>
      </c>
      <c r="D48" s="75" t="s">
        <v>327</v>
      </c>
      <c r="E48" s="75">
        <v>1.5</v>
      </c>
    </row>
    <row r="49" spans="2:5" s="790" customFormat="1" ht="31.5" x14ac:dyDescent="0.5">
      <c r="B49" s="791"/>
      <c r="C49" s="792" t="s">
        <v>1197</v>
      </c>
      <c r="D49" s="792"/>
      <c r="E49" s="792"/>
    </row>
    <row r="50" spans="2:5" ht="20.25" x14ac:dyDescent="0.25">
      <c r="B50" s="40">
        <v>38</v>
      </c>
      <c r="C50" s="40" t="s">
        <v>405</v>
      </c>
      <c r="D50" s="40" t="s">
        <v>327</v>
      </c>
      <c r="E50" s="40">
        <v>291.45</v>
      </c>
    </row>
    <row r="51" spans="2:5" ht="20.25" x14ac:dyDescent="0.25">
      <c r="B51" s="40">
        <v>39</v>
      </c>
      <c r="C51" s="40" t="s">
        <v>406</v>
      </c>
      <c r="D51" s="40" t="s">
        <v>327</v>
      </c>
      <c r="E51" s="40">
        <v>291.45</v>
      </c>
    </row>
    <row r="52" spans="2:5" ht="20.25" x14ac:dyDescent="0.25">
      <c r="B52" s="40">
        <v>40</v>
      </c>
      <c r="C52" s="40" t="s">
        <v>115</v>
      </c>
      <c r="D52" s="40" t="s">
        <v>327</v>
      </c>
      <c r="E52" s="40">
        <v>120</v>
      </c>
    </row>
    <row r="53" spans="2:5" ht="20.25" x14ac:dyDescent="0.25">
      <c r="B53" s="40">
        <v>41</v>
      </c>
      <c r="C53" s="40" t="s">
        <v>407</v>
      </c>
      <c r="D53" s="40" t="s">
        <v>327</v>
      </c>
      <c r="E53" s="40">
        <v>120</v>
      </c>
    </row>
    <row r="54" spans="2:5" ht="20.25" x14ac:dyDescent="0.25">
      <c r="B54" s="40">
        <v>42</v>
      </c>
      <c r="C54" s="40" t="s">
        <v>408</v>
      </c>
      <c r="D54" s="40" t="s">
        <v>327</v>
      </c>
      <c r="E54" s="40">
        <v>273</v>
      </c>
    </row>
    <row r="55" spans="2:5" ht="20.25" x14ac:dyDescent="0.25">
      <c r="B55" s="40">
        <v>43</v>
      </c>
      <c r="C55" s="40" t="s">
        <v>437</v>
      </c>
      <c r="D55" s="40" t="s">
        <v>327</v>
      </c>
      <c r="E55" s="40">
        <v>560</v>
      </c>
    </row>
    <row r="56" spans="2:5" ht="20.25" x14ac:dyDescent="0.25">
      <c r="B56" s="40">
        <v>44</v>
      </c>
      <c r="C56" s="40" t="s">
        <v>409</v>
      </c>
      <c r="D56" s="40" t="s">
        <v>327</v>
      </c>
      <c r="E56" s="40">
        <v>33</v>
      </c>
    </row>
    <row r="57" spans="2:5" ht="20.25" x14ac:dyDescent="0.25">
      <c r="B57" s="40">
        <v>45</v>
      </c>
      <c r="C57" s="40" t="s">
        <v>410</v>
      </c>
      <c r="D57" s="40" t="s">
        <v>327</v>
      </c>
      <c r="E57" s="40">
        <v>26.73</v>
      </c>
    </row>
    <row r="58" spans="2:5" ht="20.25" x14ac:dyDescent="0.25">
      <c r="B58" s="40">
        <v>46</v>
      </c>
      <c r="C58" s="40" t="s">
        <v>411</v>
      </c>
      <c r="D58" s="40" t="s">
        <v>327</v>
      </c>
      <c r="E58" s="40">
        <v>10</v>
      </c>
    </row>
    <row r="59" spans="2:5" ht="20.25" x14ac:dyDescent="0.25">
      <c r="B59" s="40">
        <v>47</v>
      </c>
      <c r="C59" s="40" t="s">
        <v>412</v>
      </c>
      <c r="D59" s="40" t="s">
        <v>327</v>
      </c>
      <c r="E59" s="40">
        <v>25</v>
      </c>
    </row>
    <row r="60" spans="2:5" ht="20.25" x14ac:dyDescent="0.25">
      <c r="B60" s="40">
        <v>48</v>
      </c>
      <c r="C60" s="40" t="s">
        <v>108</v>
      </c>
      <c r="D60" s="40" t="s">
        <v>327</v>
      </c>
      <c r="E60" s="40">
        <v>125</v>
      </c>
    </row>
    <row r="61" spans="2:5" ht="20.25" x14ac:dyDescent="0.25">
      <c r="B61" s="40">
        <v>49</v>
      </c>
      <c r="C61" s="40" t="s">
        <v>116</v>
      </c>
      <c r="D61" s="40" t="s">
        <v>327</v>
      </c>
      <c r="E61" s="40">
        <v>207.35</v>
      </c>
    </row>
    <row r="62" spans="2:5" ht="20.25" x14ac:dyDescent="0.25">
      <c r="B62" s="40">
        <v>50</v>
      </c>
      <c r="C62" s="40" t="s">
        <v>414</v>
      </c>
      <c r="D62" s="40" t="s">
        <v>327</v>
      </c>
      <c r="E62" s="40">
        <f>234.57+50</f>
        <v>284.57</v>
      </c>
    </row>
    <row r="63" spans="2:5" ht="20.25" x14ac:dyDescent="0.25">
      <c r="B63" s="40">
        <v>51</v>
      </c>
      <c r="C63" s="40" t="s">
        <v>413</v>
      </c>
      <c r="D63" s="40" t="s">
        <v>327</v>
      </c>
      <c r="E63" s="40">
        <v>16.5</v>
      </c>
    </row>
    <row r="64" spans="2:5" ht="20.25" x14ac:dyDescent="0.25">
      <c r="B64" s="40"/>
      <c r="C64" s="40" t="s">
        <v>433</v>
      </c>
      <c r="D64" s="40" t="s">
        <v>327</v>
      </c>
      <c r="E64" s="40">
        <v>10</v>
      </c>
    </row>
    <row r="65" spans="2:5" ht="20.25" x14ac:dyDescent="0.25">
      <c r="B65" s="40">
        <v>52</v>
      </c>
      <c r="C65" s="40" t="s">
        <v>415</v>
      </c>
      <c r="D65" s="40" t="s">
        <v>59</v>
      </c>
      <c r="E65" s="40">
        <v>5.85</v>
      </c>
    </row>
    <row r="66" spans="2:5" ht="20.25" x14ac:dyDescent="0.25">
      <c r="B66" s="40">
        <v>53</v>
      </c>
      <c r="C66" s="40" t="s">
        <v>416</v>
      </c>
      <c r="D66" s="40" t="s">
        <v>59</v>
      </c>
      <c r="E66" s="40">
        <v>9.5</v>
      </c>
    </row>
    <row r="67" spans="2:5" ht="20.25" x14ac:dyDescent="0.25">
      <c r="B67" s="40">
        <v>54</v>
      </c>
      <c r="C67" s="40" t="s">
        <v>417</v>
      </c>
      <c r="D67" s="40" t="s">
        <v>59</v>
      </c>
      <c r="E67" s="40">
        <v>15.25</v>
      </c>
    </row>
    <row r="68" spans="2:5" ht="20.25" x14ac:dyDescent="0.25">
      <c r="B68" s="40">
        <v>55</v>
      </c>
      <c r="C68" s="40" t="s">
        <v>418</v>
      </c>
      <c r="D68" s="40" t="s">
        <v>59</v>
      </c>
      <c r="E68" s="40">
        <v>12.6</v>
      </c>
    </row>
    <row r="69" spans="2:5" ht="20.25" x14ac:dyDescent="0.25">
      <c r="B69" s="40">
        <v>56</v>
      </c>
      <c r="C69" s="40" t="s">
        <v>419</v>
      </c>
      <c r="D69" s="40" t="s">
        <v>59</v>
      </c>
      <c r="E69" s="40">
        <v>18</v>
      </c>
    </row>
    <row r="70" spans="2:5" ht="20.25" x14ac:dyDescent="0.25">
      <c r="B70" s="40">
        <v>57</v>
      </c>
      <c r="C70" s="40" t="s">
        <v>420</v>
      </c>
      <c r="D70" s="40" t="s">
        <v>59</v>
      </c>
      <c r="E70" s="40">
        <v>24</v>
      </c>
    </row>
    <row r="71" spans="2:5" ht="20.25" x14ac:dyDescent="0.25">
      <c r="B71" s="40">
        <v>58</v>
      </c>
      <c r="C71" s="40" t="s">
        <v>421</v>
      </c>
      <c r="D71" s="40" t="s">
        <v>59</v>
      </c>
      <c r="E71" s="40">
        <v>42</v>
      </c>
    </row>
    <row r="72" spans="2:5" ht="20.25" x14ac:dyDescent="0.25">
      <c r="B72" s="40">
        <v>59</v>
      </c>
      <c r="C72" s="40" t="s">
        <v>422</v>
      </c>
      <c r="D72" s="40" t="s">
        <v>59</v>
      </c>
      <c r="E72" s="40">
        <v>28.51</v>
      </c>
    </row>
    <row r="73" spans="2:5" ht="20.25" x14ac:dyDescent="0.25">
      <c r="B73" s="40">
        <v>60</v>
      </c>
      <c r="C73" s="40" t="s">
        <v>424</v>
      </c>
      <c r="D73" s="40" t="s">
        <v>59</v>
      </c>
      <c r="E73" s="40">
        <v>45.66</v>
      </c>
    </row>
    <row r="74" spans="2:5" ht="20.25" x14ac:dyDescent="0.25">
      <c r="B74" s="40">
        <v>61</v>
      </c>
      <c r="C74" s="40" t="s">
        <v>423</v>
      </c>
      <c r="D74" s="40" t="s">
        <v>59</v>
      </c>
      <c r="E74" s="40">
        <v>59.75</v>
      </c>
    </row>
    <row r="75" spans="2:5" ht="20.25" x14ac:dyDescent="0.25">
      <c r="B75" s="40">
        <v>62</v>
      </c>
      <c r="C75" s="40" t="s">
        <v>425</v>
      </c>
      <c r="D75" s="40" t="s">
        <v>59</v>
      </c>
      <c r="E75" s="40">
        <v>92.96</v>
      </c>
    </row>
    <row r="76" spans="2:5" s="790" customFormat="1" ht="31.5" x14ac:dyDescent="0.5">
      <c r="B76" s="791"/>
      <c r="C76" s="792" t="s">
        <v>1198</v>
      </c>
      <c r="D76" s="792"/>
      <c r="E76" s="792"/>
    </row>
    <row r="77" spans="2:5" ht="21" x14ac:dyDescent="0.25">
      <c r="B77" s="40">
        <v>63</v>
      </c>
      <c r="C77" s="81" t="s">
        <v>251</v>
      </c>
      <c r="D77" s="40" t="s">
        <v>249</v>
      </c>
      <c r="E77" s="40">
        <v>152</v>
      </c>
    </row>
    <row r="78" spans="2:5" ht="21" x14ac:dyDescent="0.25">
      <c r="B78" s="40">
        <v>64</v>
      </c>
      <c r="C78" s="81" t="s">
        <v>243</v>
      </c>
      <c r="D78" s="40" t="s">
        <v>249</v>
      </c>
      <c r="E78" s="40">
        <v>152</v>
      </c>
    </row>
    <row r="79" spans="2:5" ht="21" x14ac:dyDescent="0.25">
      <c r="B79" s="40">
        <v>65</v>
      </c>
      <c r="C79" s="81" t="s">
        <v>244</v>
      </c>
      <c r="D79" s="40" t="s">
        <v>249</v>
      </c>
      <c r="E79" s="40">
        <v>433</v>
      </c>
    </row>
    <row r="80" spans="2:5" ht="21" x14ac:dyDescent="0.25">
      <c r="B80" s="40">
        <v>66</v>
      </c>
      <c r="C80" s="81" t="s">
        <v>248</v>
      </c>
      <c r="D80" s="40" t="s">
        <v>249</v>
      </c>
      <c r="E80" s="40">
        <v>1077</v>
      </c>
    </row>
    <row r="81" spans="2:5" ht="21" x14ac:dyDescent="0.25">
      <c r="B81" s="40">
        <v>67</v>
      </c>
      <c r="C81" s="81" t="s">
        <v>245</v>
      </c>
      <c r="D81" s="40" t="s">
        <v>249</v>
      </c>
      <c r="E81" s="40">
        <v>1695</v>
      </c>
    </row>
    <row r="82" spans="2:5" ht="21" x14ac:dyDescent="0.25">
      <c r="B82" s="40">
        <v>68</v>
      </c>
      <c r="C82" s="81" t="s">
        <v>246</v>
      </c>
      <c r="D82" s="40" t="s">
        <v>249</v>
      </c>
      <c r="E82" s="40">
        <v>328</v>
      </c>
    </row>
    <row r="83" spans="2:5" ht="21" x14ac:dyDescent="0.25">
      <c r="B83" s="40">
        <v>69</v>
      </c>
      <c r="C83" s="81" t="s">
        <v>247</v>
      </c>
      <c r="D83" s="40" t="s">
        <v>249</v>
      </c>
      <c r="E83" s="40">
        <v>300</v>
      </c>
    </row>
    <row r="84" spans="2:5" ht="21" x14ac:dyDescent="0.25">
      <c r="B84" s="40">
        <v>70</v>
      </c>
      <c r="C84" s="81" t="s">
        <v>252</v>
      </c>
      <c r="D84" s="40" t="s">
        <v>249</v>
      </c>
      <c r="E84" s="40">
        <v>14</v>
      </c>
    </row>
    <row r="85" spans="2:5" ht="21" x14ac:dyDescent="0.25">
      <c r="B85" s="40">
        <v>71</v>
      </c>
      <c r="C85" s="81" t="s">
        <v>253</v>
      </c>
      <c r="D85" s="40" t="s">
        <v>249</v>
      </c>
      <c r="E85" s="40">
        <v>67</v>
      </c>
    </row>
    <row r="86" spans="2:5" ht="20.25" x14ac:dyDescent="0.25">
      <c r="B86" s="40">
        <v>72</v>
      </c>
      <c r="C86" s="40" t="s">
        <v>465</v>
      </c>
      <c r="D86" s="40"/>
      <c r="E86" s="40">
        <v>8.8000000000000007</v>
      </c>
    </row>
  </sheetData>
  <mergeCells count="2">
    <mergeCell ref="B2:E2"/>
    <mergeCell ref="B1:E1"/>
  </mergeCells>
  <hyperlinks>
    <hyperlink ref="G2" location="cover!A1" display="cover!A1" xr:uid="{00000000-0004-0000-0E00-000000000000}"/>
  </hyperlinks>
  <pageMargins left="0.70866141732283472" right="0.70866141732283472" top="0.74803149606299213" bottom="0.74803149606299213" header="0.31496062992125984" footer="0.31496062992125984"/>
  <pageSetup paperSize="9" scale="96" fitToHeight="2" orientation="portrait" r:id="rId1"/>
  <headerFooter>
    <oddFooter>Page &amp;P of &amp;N</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3"/>
  </sheetPr>
  <dimension ref="A1:K124"/>
  <sheetViews>
    <sheetView rightToLeft="1" zoomScale="50" zoomScaleNormal="50" workbookViewId="0">
      <selection activeCell="H1" sqref="H1"/>
    </sheetView>
  </sheetViews>
  <sheetFormatPr defaultColWidth="9" defaultRowHeight="26.25" x14ac:dyDescent="0.4"/>
  <cols>
    <col min="1" max="1" width="5.85546875" style="158" customWidth="1"/>
    <col min="2" max="2" width="67.28515625" style="158" customWidth="1"/>
    <col min="3" max="3" width="9.85546875" style="158" customWidth="1"/>
    <col min="4" max="4" width="11.5703125" style="158" customWidth="1"/>
    <col min="5" max="5" width="15" style="158" hidden="1" customWidth="1"/>
    <col min="6" max="6" width="17.7109375" style="158" customWidth="1"/>
    <col min="7" max="7" width="22.85546875" style="182" customWidth="1"/>
    <col min="8" max="8" width="90.7109375" style="346" customWidth="1"/>
    <col min="9" max="9" width="9.85546875" style="346" customWidth="1"/>
    <col min="10" max="10" width="30.42578125" style="158" customWidth="1"/>
    <col min="11" max="11" width="90.28515625" style="158" customWidth="1"/>
    <col min="12" max="16384" width="9" style="158"/>
  </cols>
  <sheetData>
    <row r="1" spans="1:11" ht="47.25" thickBot="1" x14ac:dyDescent="0.45">
      <c r="A1" s="1172"/>
      <c r="B1" s="1172"/>
      <c r="C1" s="1172"/>
      <c r="D1" s="1172"/>
      <c r="E1" s="1172"/>
      <c r="F1" s="737"/>
      <c r="G1" s="737"/>
      <c r="H1" s="738"/>
      <c r="I1" s="738"/>
      <c r="J1" s="737"/>
      <c r="K1" s="737"/>
    </row>
    <row r="2" spans="1:11" ht="47.25" thickBot="1" x14ac:dyDescent="0.45">
      <c r="A2" s="1173" t="s">
        <v>338</v>
      </c>
      <c r="B2" s="1173"/>
      <c r="C2" s="1173"/>
      <c r="D2" s="1173"/>
      <c r="E2" s="1173"/>
      <c r="G2" s="739"/>
      <c r="H2" s="740" t="s">
        <v>1071</v>
      </c>
      <c r="I2" s="740"/>
      <c r="J2" s="380" t="s">
        <v>1171</v>
      </c>
      <c r="K2" s="737"/>
    </row>
    <row r="3" spans="1:11" ht="40.5" customHeight="1" x14ac:dyDescent="0.4">
      <c r="A3" s="787" t="s">
        <v>0</v>
      </c>
      <c r="B3" s="788" t="s">
        <v>339</v>
      </c>
      <c r="C3" s="788" t="s">
        <v>267</v>
      </c>
      <c r="D3" s="789" t="s">
        <v>4</v>
      </c>
      <c r="E3" s="741" t="s">
        <v>340</v>
      </c>
      <c r="F3" s="737"/>
      <c r="G3" s="1176" t="s">
        <v>471</v>
      </c>
      <c r="H3" s="729" t="s">
        <v>1072</v>
      </c>
      <c r="I3" s="729">
        <v>150</v>
      </c>
      <c r="J3" s="737"/>
      <c r="K3" s="737"/>
    </row>
    <row r="4" spans="1:11" ht="28.5" customHeight="1" thickBot="1" x14ac:dyDescent="0.45">
      <c r="A4" s="742"/>
      <c r="B4" s="728" t="s">
        <v>1181</v>
      </c>
      <c r="C4" s="742"/>
      <c r="D4" s="742"/>
      <c r="E4" s="744"/>
      <c r="F4" s="737"/>
      <c r="G4" s="1177"/>
      <c r="H4" s="729" t="s">
        <v>1073</v>
      </c>
      <c r="I4" s="729">
        <v>100</v>
      </c>
      <c r="J4" s="737"/>
      <c r="K4" s="737"/>
    </row>
    <row r="5" spans="1:11" ht="58.5" customHeight="1" x14ac:dyDescent="0.4">
      <c r="A5" s="745">
        <v>1</v>
      </c>
      <c r="B5" s="746" t="s">
        <v>1179</v>
      </c>
      <c r="C5" s="745" t="s">
        <v>12</v>
      </c>
      <c r="D5" s="745">
        <f>70+6.5</f>
        <v>76.5</v>
      </c>
      <c r="E5" s="747" t="s">
        <v>343</v>
      </c>
      <c r="F5" s="737"/>
      <c r="G5" s="1176" t="s">
        <v>1074</v>
      </c>
      <c r="H5" s="729" t="s">
        <v>1075</v>
      </c>
      <c r="I5" s="729">
        <v>190</v>
      </c>
      <c r="K5" s="737"/>
    </row>
    <row r="6" spans="1:11" ht="58.5" customHeight="1" x14ac:dyDescent="0.4">
      <c r="A6" s="745">
        <v>2</v>
      </c>
      <c r="B6" s="746" t="s">
        <v>1180</v>
      </c>
      <c r="C6" s="745" t="s">
        <v>12</v>
      </c>
      <c r="D6" s="745">
        <v>210</v>
      </c>
      <c r="E6" s="744">
        <v>0</v>
      </c>
      <c r="F6" s="737"/>
      <c r="G6" s="1177"/>
      <c r="H6" s="729" t="s">
        <v>1076</v>
      </c>
      <c r="I6" s="729"/>
      <c r="J6" s="737"/>
      <c r="K6" s="737"/>
    </row>
    <row r="7" spans="1:11" ht="58.5" customHeight="1" x14ac:dyDescent="0.4">
      <c r="A7" s="745">
        <v>3</v>
      </c>
      <c r="B7" s="746" t="s">
        <v>349</v>
      </c>
      <c r="C7" s="745" t="s">
        <v>12</v>
      </c>
      <c r="D7" s="745">
        <v>30</v>
      </c>
      <c r="E7" s="744"/>
      <c r="F7" s="737"/>
      <c r="G7" s="1176" t="s">
        <v>1077</v>
      </c>
      <c r="H7" s="729" t="s">
        <v>1078</v>
      </c>
      <c r="I7" s="729">
        <v>170</v>
      </c>
      <c r="K7" s="737"/>
    </row>
    <row r="8" spans="1:11" ht="58.5" customHeight="1" x14ac:dyDescent="0.4">
      <c r="A8" s="745">
        <v>4</v>
      </c>
      <c r="B8" s="746" t="s">
        <v>350</v>
      </c>
      <c r="C8" s="745" t="s">
        <v>12</v>
      </c>
      <c r="D8" s="745">
        <v>10</v>
      </c>
      <c r="E8" s="744"/>
      <c r="F8" s="737"/>
      <c r="G8" s="1177"/>
      <c r="H8" s="729" t="s">
        <v>1079</v>
      </c>
      <c r="I8" s="729"/>
      <c r="J8" s="737"/>
      <c r="K8" s="737"/>
    </row>
    <row r="9" spans="1:11" ht="58.5" customHeight="1" x14ac:dyDescent="0.4">
      <c r="A9" s="745">
        <v>5</v>
      </c>
      <c r="B9" s="746" t="s">
        <v>353</v>
      </c>
      <c r="C9" s="745" t="s">
        <v>45</v>
      </c>
      <c r="D9" s="745">
        <v>4</v>
      </c>
      <c r="E9" s="744"/>
      <c r="F9" s="737"/>
      <c r="G9" s="1176" t="s">
        <v>1080</v>
      </c>
      <c r="H9" s="730" t="s">
        <v>1081</v>
      </c>
      <c r="I9" s="731">
        <v>300</v>
      </c>
      <c r="J9" s="737"/>
      <c r="K9" s="737"/>
    </row>
    <row r="10" spans="1:11" ht="58.5" customHeight="1" x14ac:dyDescent="0.4">
      <c r="A10" s="745">
        <v>6</v>
      </c>
      <c r="B10" s="746" t="s">
        <v>352</v>
      </c>
      <c r="C10" s="745" t="s">
        <v>45</v>
      </c>
      <c r="D10" s="745">
        <v>4</v>
      </c>
      <c r="E10" s="744"/>
      <c r="F10" s="737"/>
      <c r="G10" s="1177"/>
      <c r="H10" s="731" t="s">
        <v>1082</v>
      </c>
      <c r="I10" s="730">
        <v>450</v>
      </c>
      <c r="K10" s="737"/>
    </row>
    <row r="11" spans="1:11" ht="58.5" customHeight="1" x14ac:dyDescent="0.4">
      <c r="A11" s="745">
        <v>7</v>
      </c>
      <c r="B11" s="746" t="s">
        <v>354</v>
      </c>
      <c r="C11" s="745" t="s">
        <v>45</v>
      </c>
      <c r="D11" s="745">
        <v>48</v>
      </c>
      <c r="E11" s="744"/>
      <c r="F11" s="737"/>
      <c r="G11" s="748" t="s">
        <v>1083</v>
      </c>
      <c r="H11" s="729" t="s">
        <v>1084</v>
      </c>
      <c r="I11" s="730">
        <v>6</v>
      </c>
      <c r="J11" s="737"/>
      <c r="K11" s="737"/>
    </row>
    <row r="12" spans="1:11" ht="33" x14ac:dyDescent="0.4">
      <c r="A12" s="742"/>
      <c r="B12" s="728" t="s">
        <v>1182</v>
      </c>
      <c r="C12" s="742"/>
      <c r="D12" s="742"/>
      <c r="E12" s="744"/>
      <c r="F12" s="737"/>
      <c r="J12" s="737"/>
      <c r="K12" s="737"/>
    </row>
    <row r="13" spans="1:11" ht="25.5" customHeight="1" x14ac:dyDescent="0.4">
      <c r="A13" s="749">
        <v>8</v>
      </c>
      <c r="B13" s="749" t="s">
        <v>441</v>
      </c>
      <c r="C13" s="749" t="s">
        <v>12</v>
      </c>
      <c r="D13" s="749">
        <v>170</v>
      </c>
      <c r="E13" s="744"/>
      <c r="F13" s="737"/>
      <c r="G13" s="739"/>
      <c r="H13" s="1174" t="s">
        <v>998</v>
      </c>
      <c r="I13" s="1175"/>
      <c r="K13" s="737"/>
    </row>
    <row r="14" spans="1:11" ht="33" customHeight="1" x14ac:dyDescent="0.4">
      <c r="A14" s="749">
        <v>9</v>
      </c>
      <c r="B14" s="749" t="s">
        <v>441</v>
      </c>
      <c r="C14" s="749" t="s">
        <v>45</v>
      </c>
      <c r="D14" s="749">
        <v>17</v>
      </c>
      <c r="E14" s="744"/>
      <c r="F14" s="737"/>
      <c r="G14" s="739"/>
      <c r="H14" s="750" t="s">
        <v>999</v>
      </c>
      <c r="I14" s="730">
        <v>11</v>
      </c>
      <c r="J14" s="737"/>
      <c r="K14" s="737"/>
    </row>
    <row r="15" spans="1:11" ht="33" customHeight="1" x14ac:dyDescent="0.4">
      <c r="A15" s="742"/>
      <c r="B15" s="728" t="s">
        <v>1183</v>
      </c>
      <c r="C15" s="742"/>
      <c r="D15" s="742"/>
      <c r="E15" s="744"/>
      <c r="F15" s="737"/>
      <c r="G15" s="739"/>
      <c r="H15" s="1174" t="s">
        <v>1000</v>
      </c>
      <c r="I15" s="1175"/>
      <c r="J15" s="737"/>
      <c r="K15" s="737"/>
    </row>
    <row r="16" spans="1:11" x14ac:dyDescent="0.4">
      <c r="A16" s="751">
        <v>10</v>
      </c>
      <c r="B16" s="751" t="s">
        <v>341</v>
      </c>
      <c r="C16" s="751" t="s">
        <v>45</v>
      </c>
      <c r="D16" s="751">
        <v>20</v>
      </c>
      <c r="E16" s="744">
        <v>0</v>
      </c>
      <c r="F16" s="737"/>
      <c r="G16" s="739"/>
      <c r="H16" s="750" t="s">
        <v>1001</v>
      </c>
      <c r="I16" s="730">
        <v>85</v>
      </c>
      <c r="K16" s="737"/>
    </row>
    <row r="17" spans="1:11" x14ac:dyDescent="0.4">
      <c r="A17" s="751">
        <v>11</v>
      </c>
      <c r="B17" s="751" t="s">
        <v>342</v>
      </c>
      <c r="C17" s="751" t="s">
        <v>45</v>
      </c>
      <c r="D17" s="751">
        <v>25</v>
      </c>
      <c r="E17" s="744" t="s">
        <v>343</v>
      </c>
      <c r="F17" s="737"/>
      <c r="G17" s="739"/>
      <c r="J17" s="737"/>
      <c r="K17" s="737"/>
    </row>
    <row r="18" spans="1:11" x14ac:dyDescent="0.4">
      <c r="A18" s="751">
        <v>12</v>
      </c>
      <c r="B18" s="751" t="s">
        <v>438</v>
      </c>
      <c r="C18" s="751" t="s">
        <v>59</v>
      </c>
      <c r="D18" s="751">
        <v>16</v>
      </c>
      <c r="E18" s="752"/>
      <c r="F18" s="737"/>
      <c r="G18" s="739"/>
      <c r="H18" s="1174" t="s">
        <v>995</v>
      </c>
      <c r="I18" s="1175"/>
      <c r="J18" s="737"/>
      <c r="K18" s="737"/>
    </row>
    <row r="19" spans="1:11" x14ac:dyDescent="0.4">
      <c r="A19" s="751">
        <v>13</v>
      </c>
      <c r="B19" s="751" t="s">
        <v>356</v>
      </c>
      <c r="C19" s="751" t="s">
        <v>45</v>
      </c>
      <c r="D19" s="751">
        <v>7</v>
      </c>
      <c r="E19" s="752"/>
      <c r="F19" s="737"/>
      <c r="G19" s="739"/>
      <c r="H19" s="750" t="s">
        <v>996</v>
      </c>
      <c r="I19" s="175">
        <v>18</v>
      </c>
      <c r="J19" s="737"/>
      <c r="K19" s="737"/>
    </row>
    <row r="20" spans="1:11" ht="37.5" customHeight="1" x14ac:dyDescent="0.4">
      <c r="A20" s="751">
        <v>14</v>
      </c>
      <c r="B20" s="751" t="s">
        <v>357</v>
      </c>
      <c r="C20" s="751" t="s">
        <v>45</v>
      </c>
      <c r="D20" s="751">
        <v>0</v>
      </c>
      <c r="E20" s="752"/>
      <c r="H20" s="730" t="s">
        <v>997</v>
      </c>
      <c r="I20" s="753">
        <v>25</v>
      </c>
    </row>
    <row r="21" spans="1:11" x14ac:dyDescent="0.4">
      <c r="A21" s="751">
        <v>15</v>
      </c>
      <c r="B21" s="751" t="s">
        <v>344</v>
      </c>
      <c r="C21" s="751" t="s">
        <v>45</v>
      </c>
      <c r="D21" s="751">
        <v>4</v>
      </c>
      <c r="E21" s="752" t="s">
        <v>343</v>
      </c>
      <c r="H21" s="754"/>
      <c r="I21" s="755"/>
    </row>
    <row r="22" spans="1:11" ht="33" x14ac:dyDescent="0.4">
      <c r="A22" s="742"/>
      <c r="B22" s="728" t="s">
        <v>1184</v>
      </c>
      <c r="C22" s="742"/>
      <c r="D22" s="742"/>
      <c r="E22" s="752"/>
      <c r="H22" s="1174" t="s">
        <v>987</v>
      </c>
      <c r="I22" s="1175"/>
    </row>
    <row r="23" spans="1:11" x14ac:dyDescent="0.4">
      <c r="A23" s="756">
        <v>16</v>
      </c>
      <c r="B23" s="756" t="s">
        <v>345</v>
      </c>
      <c r="C23" s="756" t="s">
        <v>45</v>
      </c>
      <c r="D23" s="756">
        <v>7</v>
      </c>
      <c r="E23" s="752" t="s">
        <v>343</v>
      </c>
      <c r="H23" s="757" t="s">
        <v>988</v>
      </c>
      <c r="I23" s="758"/>
    </row>
    <row r="24" spans="1:11" x14ac:dyDescent="0.4">
      <c r="A24" s="756">
        <v>17</v>
      </c>
      <c r="B24" s="756" t="s">
        <v>346</v>
      </c>
      <c r="C24" s="756" t="s">
        <v>45</v>
      </c>
      <c r="D24" s="756">
        <v>8</v>
      </c>
      <c r="E24" s="752" t="s">
        <v>343</v>
      </c>
      <c r="H24" s="731" t="s">
        <v>989</v>
      </c>
      <c r="I24" s="742">
        <v>12</v>
      </c>
    </row>
    <row r="25" spans="1:11" x14ac:dyDescent="0.4">
      <c r="A25" s="756">
        <v>18</v>
      </c>
      <c r="B25" s="759" t="s">
        <v>347</v>
      </c>
      <c r="C25" s="756" t="s">
        <v>70</v>
      </c>
      <c r="D25" s="756">
        <v>170</v>
      </c>
      <c r="E25" s="752" t="s">
        <v>343</v>
      </c>
      <c r="H25" s="730" t="s">
        <v>990</v>
      </c>
      <c r="I25" s="753">
        <v>35</v>
      </c>
    </row>
    <row r="26" spans="1:11" ht="27" customHeight="1" x14ac:dyDescent="0.4">
      <c r="A26" s="756">
        <v>19</v>
      </c>
      <c r="B26" s="756" t="s">
        <v>348</v>
      </c>
      <c r="C26" s="756" t="s">
        <v>70</v>
      </c>
      <c r="D26" s="756">
        <v>30</v>
      </c>
      <c r="E26" s="752" t="s">
        <v>343</v>
      </c>
      <c r="H26" s="1174" t="s">
        <v>991</v>
      </c>
      <c r="I26" s="1175"/>
    </row>
    <row r="27" spans="1:11" ht="33" x14ac:dyDescent="0.4">
      <c r="A27" s="742"/>
      <c r="B27" s="728" t="s">
        <v>1185</v>
      </c>
      <c r="C27" s="742"/>
      <c r="D27" s="742"/>
      <c r="E27" s="760"/>
      <c r="H27" s="730" t="s">
        <v>992</v>
      </c>
      <c r="I27" s="753">
        <v>20</v>
      </c>
    </row>
    <row r="28" spans="1:11" ht="36.75" customHeight="1" x14ac:dyDescent="0.4">
      <c r="A28" s="761">
        <v>20</v>
      </c>
      <c r="B28" s="761" t="s">
        <v>359</v>
      </c>
      <c r="C28" s="761" t="s">
        <v>45</v>
      </c>
      <c r="D28" s="761">
        <v>22</v>
      </c>
      <c r="E28" s="752"/>
      <c r="H28" s="731" t="s">
        <v>993</v>
      </c>
      <c r="I28" s="742">
        <v>6</v>
      </c>
    </row>
    <row r="29" spans="1:11" ht="36.75" customHeight="1" x14ac:dyDescent="0.4">
      <c r="A29" s="761">
        <v>21</v>
      </c>
      <c r="B29" s="761" t="s">
        <v>360</v>
      </c>
      <c r="C29" s="761" t="s">
        <v>45</v>
      </c>
      <c r="D29" s="761">
        <v>20</v>
      </c>
      <c r="E29" s="752"/>
      <c r="H29" s="731" t="s">
        <v>994</v>
      </c>
      <c r="I29" s="753">
        <v>6</v>
      </c>
    </row>
    <row r="30" spans="1:11" ht="36.75" customHeight="1" x14ac:dyDescent="0.4">
      <c r="A30" s="761">
        <v>22</v>
      </c>
      <c r="B30" s="761" t="s">
        <v>361</v>
      </c>
      <c r="C30" s="761" t="s">
        <v>59</v>
      </c>
      <c r="D30" s="761">
        <v>3.5</v>
      </c>
      <c r="E30" s="752"/>
    </row>
    <row r="31" spans="1:11" ht="36.75" customHeight="1" x14ac:dyDescent="0.4">
      <c r="A31" s="884"/>
      <c r="B31" s="761" t="s">
        <v>1672</v>
      </c>
      <c r="C31" s="761" t="s">
        <v>45</v>
      </c>
      <c r="D31" s="761">
        <v>25</v>
      </c>
      <c r="E31" s="885"/>
    </row>
    <row r="32" spans="1:11" ht="36.75" customHeight="1" x14ac:dyDescent="0.4">
      <c r="A32" s="761">
        <v>23</v>
      </c>
      <c r="B32" s="761" t="s">
        <v>362</v>
      </c>
      <c r="C32" s="761" t="s">
        <v>45</v>
      </c>
      <c r="D32" s="761">
        <v>8</v>
      </c>
      <c r="E32" s="752"/>
      <c r="H32" s="1174" t="s">
        <v>61</v>
      </c>
      <c r="I32" s="1175"/>
    </row>
    <row r="33" spans="1:9" ht="36.75" customHeight="1" x14ac:dyDescent="0.4">
      <c r="A33" s="761">
        <v>24</v>
      </c>
      <c r="B33" s="761" t="s">
        <v>363</v>
      </c>
      <c r="C33" s="761" t="s">
        <v>59</v>
      </c>
      <c r="D33" s="761"/>
      <c r="E33" s="752"/>
      <c r="H33" s="731" t="s">
        <v>981</v>
      </c>
      <c r="I33" s="742">
        <v>20</v>
      </c>
    </row>
    <row r="34" spans="1:9" ht="36.75" customHeight="1" x14ac:dyDescent="0.4">
      <c r="A34" s="761">
        <v>25</v>
      </c>
      <c r="B34" s="761" t="s">
        <v>364</v>
      </c>
      <c r="C34" s="761" t="s">
        <v>45</v>
      </c>
      <c r="D34" s="761">
        <v>15</v>
      </c>
      <c r="E34" s="752"/>
      <c r="H34" s="730" t="s">
        <v>982</v>
      </c>
      <c r="I34" s="753">
        <v>35</v>
      </c>
    </row>
    <row r="35" spans="1:9" ht="36.75" customHeight="1" x14ac:dyDescent="0.4">
      <c r="A35" s="761">
        <v>26</v>
      </c>
      <c r="B35" s="761" t="s">
        <v>365</v>
      </c>
      <c r="C35" s="761" t="s">
        <v>45</v>
      </c>
      <c r="D35" s="761">
        <v>6</v>
      </c>
      <c r="E35" s="752"/>
      <c r="H35" s="1178" t="s">
        <v>983</v>
      </c>
      <c r="I35" s="1179"/>
    </row>
    <row r="36" spans="1:9" ht="54.75" customHeight="1" x14ac:dyDescent="0.4">
      <c r="A36" s="742"/>
      <c r="B36" s="728" t="s">
        <v>1186</v>
      </c>
      <c r="C36" s="742"/>
      <c r="D36" s="742"/>
      <c r="E36" s="760"/>
      <c r="H36" s="730" t="s">
        <v>984</v>
      </c>
      <c r="I36" s="753">
        <v>40</v>
      </c>
    </row>
    <row r="37" spans="1:9" ht="25.5" customHeight="1" x14ac:dyDescent="0.4">
      <c r="A37" s="762">
        <v>27</v>
      </c>
      <c r="B37" s="762" t="s">
        <v>370</v>
      </c>
      <c r="C37" s="762" t="s">
        <v>45</v>
      </c>
      <c r="D37" s="762">
        <v>75</v>
      </c>
      <c r="E37" s="752"/>
      <c r="F37" s="182"/>
      <c r="H37" s="731" t="s">
        <v>985</v>
      </c>
      <c r="I37" s="742">
        <v>50</v>
      </c>
    </row>
    <row r="38" spans="1:9" ht="25.5" customHeight="1" x14ac:dyDescent="0.4">
      <c r="A38" s="762">
        <v>31</v>
      </c>
      <c r="B38" s="762" t="s">
        <v>371</v>
      </c>
      <c r="C38" s="762" t="s">
        <v>59</v>
      </c>
      <c r="D38" s="762">
        <v>10</v>
      </c>
      <c r="E38" s="752"/>
    </row>
    <row r="39" spans="1:9" ht="25.5" customHeight="1" x14ac:dyDescent="0.4">
      <c r="A39" s="762">
        <v>28</v>
      </c>
      <c r="B39" s="762" t="s">
        <v>372</v>
      </c>
      <c r="C39" s="762" t="s">
        <v>59</v>
      </c>
      <c r="D39" s="762">
        <v>55</v>
      </c>
      <c r="E39" s="752"/>
      <c r="H39" s="731" t="s">
        <v>979</v>
      </c>
      <c r="I39" s="753">
        <v>60</v>
      </c>
    </row>
    <row r="40" spans="1:9" ht="25.5" customHeight="1" x14ac:dyDescent="0.4">
      <c r="A40" s="762">
        <v>29</v>
      </c>
      <c r="B40" s="762" t="s">
        <v>375</v>
      </c>
      <c r="C40" s="762" t="s">
        <v>45</v>
      </c>
      <c r="D40" s="762">
        <v>75</v>
      </c>
      <c r="E40" s="752"/>
      <c r="H40" s="730" t="s">
        <v>980</v>
      </c>
      <c r="I40" s="753">
        <v>40</v>
      </c>
    </row>
    <row r="41" spans="1:9" ht="25.5" customHeight="1" x14ac:dyDescent="0.4">
      <c r="A41" s="762">
        <v>31</v>
      </c>
      <c r="B41" s="762" t="s">
        <v>373</v>
      </c>
      <c r="C41" s="762" t="s">
        <v>59</v>
      </c>
      <c r="D41" s="762">
        <v>12</v>
      </c>
      <c r="E41" s="752"/>
    </row>
    <row r="42" spans="1:9" ht="25.5" customHeight="1" x14ac:dyDescent="0.4">
      <c r="A42" s="762">
        <v>30</v>
      </c>
      <c r="B42" s="762" t="s">
        <v>374</v>
      </c>
      <c r="C42" s="762" t="s">
        <v>59</v>
      </c>
      <c r="D42" s="762">
        <v>70</v>
      </c>
      <c r="E42" s="752"/>
      <c r="H42" s="1180" t="s">
        <v>1031</v>
      </c>
      <c r="I42" s="1180"/>
    </row>
    <row r="43" spans="1:9" ht="25.5" customHeight="1" x14ac:dyDescent="0.4">
      <c r="A43" s="762"/>
      <c r="B43" s="762" t="s">
        <v>462</v>
      </c>
      <c r="C43" s="762" t="s">
        <v>45</v>
      </c>
      <c r="D43" s="762">
        <v>310</v>
      </c>
      <c r="E43" s="752"/>
      <c r="H43" s="1181" t="s">
        <v>1032</v>
      </c>
      <c r="I43" s="1181"/>
    </row>
    <row r="44" spans="1:9" ht="25.5" customHeight="1" x14ac:dyDescent="0.4">
      <c r="A44" s="762"/>
      <c r="B44" s="762" t="s">
        <v>463</v>
      </c>
      <c r="C44" s="762" t="s">
        <v>45</v>
      </c>
      <c r="D44" s="762">
        <v>285</v>
      </c>
      <c r="E44" s="752"/>
      <c r="H44" s="730" t="s">
        <v>1033</v>
      </c>
      <c r="I44" s="753">
        <v>50</v>
      </c>
    </row>
    <row r="45" spans="1:9" ht="25.5" customHeight="1" x14ac:dyDescent="0.4">
      <c r="A45" s="762"/>
      <c r="B45" s="762" t="s">
        <v>463</v>
      </c>
      <c r="C45" s="762" t="s">
        <v>464</v>
      </c>
      <c r="D45" s="762">
        <v>160</v>
      </c>
      <c r="E45" s="752"/>
      <c r="H45" s="731" t="s">
        <v>1034</v>
      </c>
      <c r="I45" s="742">
        <v>60</v>
      </c>
    </row>
    <row r="46" spans="1:9" ht="33" x14ac:dyDescent="0.4">
      <c r="A46" s="175"/>
      <c r="B46" s="728" t="s">
        <v>1187</v>
      </c>
      <c r="C46" s="175"/>
      <c r="D46" s="175"/>
      <c r="E46" s="752"/>
      <c r="H46" s="730" t="s">
        <v>1035</v>
      </c>
      <c r="I46" s="753">
        <v>80</v>
      </c>
    </row>
    <row r="47" spans="1:9" ht="21.75" customHeight="1" x14ac:dyDescent="0.4">
      <c r="A47" s="763">
        <v>32</v>
      </c>
      <c r="B47" s="763" t="s">
        <v>367</v>
      </c>
      <c r="C47" s="763" t="s">
        <v>70</v>
      </c>
      <c r="D47" s="763">
        <v>70</v>
      </c>
      <c r="E47" s="752"/>
      <c r="H47" s="731" t="s">
        <v>1036</v>
      </c>
      <c r="I47" s="742">
        <v>60</v>
      </c>
    </row>
    <row r="48" spans="1:9" ht="56.25" customHeight="1" x14ac:dyDescent="0.4">
      <c r="A48" s="763">
        <v>33</v>
      </c>
      <c r="B48" s="763" t="s">
        <v>368</v>
      </c>
      <c r="C48" s="763" t="s">
        <v>70</v>
      </c>
      <c r="D48" s="763">
        <v>50</v>
      </c>
      <c r="E48" s="752"/>
      <c r="H48" s="1181" t="s">
        <v>1037</v>
      </c>
      <c r="I48" s="1181"/>
    </row>
    <row r="49" spans="1:9" ht="21.75" customHeight="1" x14ac:dyDescent="0.4">
      <c r="A49" s="763">
        <v>34</v>
      </c>
      <c r="B49" s="763" t="s">
        <v>366</v>
      </c>
      <c r="C49" s="763" t="s">
        <v>70</v>
      </c>
      <c r="D49" s="763">
        <v>40</v>
      </c>
      <c r="E49" s="752"/>
      <c r="H49" s="731" t="s">
        <v>1038</v>
      </c>
      <c r="I49" s="742">
        <v>150</v>
      </c>
    </row>
    <row r="50" spans="1:9" ht="21.75" customHeight="1" x14ac:dyDescent="0.4">
      <c r="A50" s="763">
        <v>35</v>
      </c>
      <c r="B50" s="763" t="s">
        <v>369</v>
      </c>
      <c r="C50" s="763" t="s">
        <v>70</v>
      </c>
      <c r="D50" s="763">
        <v>50</v>
      </c>
      <c r="E50" s="752"/>
      <c r="H50" s="731" t="s">
        <v>1039</v>
      </c>
      <c r="I50" s="753">
        <v>250</v>
      </c>
    </row>
    <row r="51" spans="1:9" ht="36.75" customHeight="1" x14ac:dyDescent="0.4">
      <c r="A51" s="764"/>
      <c r="B51" s="728" t="s">
        <v>1188</v>
      </c>
      <c r="C51" s="743"/>
      <c r="D51" s="743"/>
      <c r="E51" s="743"/>
      <c r="H51" s="765"/>
      <c r="I51" s="755"/>
    </row>
    <row r="52" spans="1:9" ht="46.5" customHeight="1" x14ac:dyDescent="0.4">
      <c r="A52" s="175">
        <v>36</v>
      </c>
      <c r="B52" s="766" t="s">
        <v>379</v>
      </c>
      <c r="C52" s="766" t="s">
        <v>70</v>
      </c>
      <c r="D52" s="766">
        <v>150</v>
      </c>
      <c r="E52" s="767"/>
      <c r="H52" s="1181" t="s">
        <v>1012</v>
      </c>
      <c r="I52" s="1181"/>
    </row>
    <row r="53" spans="1:9" ht="46.5" customHeight="1" x14ac:dyDescent="0.4">
      <c r="A53" s="175">
        <v>37</v>
      </c>
      <c r="B53" s="766" t="s">
        <v>381</v>
      </c>
      <c r="C53" s="766" t="s">
        <v>70</v>
      </c>
      <c r="D53" s="766">
        <v>120</v>
      </c>
      <c r="E53" s="744"/>
      <c r="H53" s="729" t="s">
        <v>1013</v>
      </c>
      <c r="I53" s="753">
        <v>280</v>
      </c>
    </row>
    <row r="54" spans="1:9" ht="46.5" customHeight="1" x14ac:dyDescent="0.4">
      <c r="A54" s="175">
        <v>38</v>
      </c>
      <c r="B54" s="766" t="s">
        <v>380</v>
      </c>
      <c r="C54" s="766" t="s">
        <v>70</v>
      </c>
      <c r="D54" s="766">
        <v>120</v>
      </c>
      <c r="E54" s="752"/>
      <c r="H54" s="729" t="s">
        <v>1014</v>
      </c>
      <c r="I54" s="753">
        <v>220</v>
      </c>
    </row>
    <row r="55" spans="1:9" ht="46.5" customHeight="1" x14ac:dyDescent="0.4">
      <c r="A55" s="175">
        <v>39</v>
      </c>
      <c r="B55" s="766" t="s">
        <v>399</v>
      </c>
      <c r="C55" s="766" t="s">
        <v>70</v>
      </c>
      <c r="D55" s="766">
        <v>100</v>
      </c>
      <c r="E55" s="752"/>
      <c r="H55" s="729" t="s">
        <v>1015</v>
      </c>
      <c r="I55" s="753">
        <v>250</v>
      </c>
    </row>
    <row r="56" spans="1:9" ht="46.5" customHeight="1" x14ac:dyDescent="0.4">
      <c r="A56" s="175"/>
      <c r="B56" s="766" t="s">
        <v>400</v>
      </c>
      <c r="C56" s="766" t="s">
        <v>70</v>
      </c>
      <c r="D56" s="766">
        <v>150</v>
      </c>
      <c r="E56" s="752"/>
      <c r="H56" s="729" t="s">
        <v>1016</v>
      </c>
      <c r="I56" s="753">
        <v>120</v>
      </c>
    </row>
    <row r="57" spans="1:9" ht="46.5" customHeight="1" x14ac:dyDescent="0.4">
      <c r="A57" s="175">
        <v>40</v>
      </c>
      <c r="B57" s="768" t="s">
        <v>382</v>
      </c>
      <c r="C57" s="766" t="s">
        <v>70</v>
      </c>
      <c r="D57" s="766">
        <v>80</v>
      </c>
      <c r="E57" s="752"/>
      <c r="H57" s="729" t="s">
        <v>1017</v>
      </c>
      <c r="I57" s="753">
        <v>50</v>
      </c>
    </row>
    <row r="58" spans="1:9" ht="46.5" customHeight="1" x14ac:dyDescent="0.4">
      <c r="A58" s="175">
        <v>41</v>
      </c>
      <c r="B58" s="768" t="s">
        <v>388</v>
      </c>
      <c r="C58" s="766" t="s">
        <v>70</v>
      </c>
      <c r="D58" s="766">
        <v>65</v>
      </c>
      <c r="E58" s="752"/>
      <c r="H58" s="729" t="s">
        <v>1018</v>
      </c>
      <c r="I58" s="753">
        <v>50</v>
      </c>
    </row>
    <row r="59" spans="1:9" ht="46.5" customHeight="1" x14ac:dyDescent="0.4">
      <c r="A59" s="175">
        <v>42</v>
      </c>
      <c r="B59" s="768" t="s">
        <v>389</v>
      </c>
      <c r="C59" s="766" t="s">
        <v>70</v>
      </c>
      <c r="D59" s="766">
        <v>50</v>
      </c>
      <c r="E59" s="752"/>
      <c r="H59" s="729" t="s">
        <v>1019</v>
      </c>
      <c r="I59" s="753">
        <v>200</v>
      </c>
    </row>
    <row r="60" spans="1:9" ht="46.5" customHeight="1" x14ac:dyDescent="0.4">
      <c r="A60" s="175">
        <v>43</v>
      </c>
      <c r="B60" s="766" t="s">
        <v>383</v>
      </c>
      <c r="C60" s="766" t="s">
        <v>70</v>
      </c>
      <c r="D60" s="766">
        <v>50</v>
      </c>
      <c r="E60" s="752"/>
      <c r="H60" s="729" t="s">
        <v>1020</v>
      </c>
      <c r="I60" s="753">
        <v>80</v>
      </c>
    </row>
    <row r="61" spans="1:9" ht="46.5" customHeight="1" x14ac:dyDescent="0.4">
      <c r="A61" s="175">
        <v>44</v>
      </c>
      <c r="B61" s="766" t="s">
        <v>384</v>
      </c>
      <c r="C61" s="766" t="s">
        <v>70</v>
      </c>
      <c r="D61" s="766">
        <v>50</v>
      </c>
      <c r="E61" s="769"/>
      <c r="H61" s="729" t="s">
        <v>1021</v>
      </c>
      <c r="I61" s="753">
        <v>10</v>
      </c>
    </row>
    <row r="62" spans="1:9" ht="46.5" customHeight="1" x14ac:dyDescent="0.4">
      <c r="A62" s="175">
        <v>45</v>
      </c>
      <c r="B62" s="766" t="s">
        <v>385</v>
      </c>
      <c r="C62" s="766" t="s">
        <v>59</v>
      </c>
      <c r="D62" s="766">
        <v>18</v>
      </c>
      <c r="E62" s="769"/>
      <c r="H62" s="729" t="s">
        <v>1022</v>
      </c>
      <c r="I62" s="753">
        <v>15</v>
      </c>
    </row>
    <row r="63" spans="1:9" ht="46.5" customHeight="1" x14ac:dyDescent="0.4">
      <c r="A63" s="175">
        <v>46</v>
      </c>
      <c r="B63" s="766" t="s">
        <v>386</v>
      </c>
      <c r="C63" s="766" t="s">
        <v>70</v>
      </c>
      <c r="D63" s="766">
        <v>60</v>
      </c>
      <c r="E63" s="769"/>
      <c r="H63" s="729" t="s">
        <v>1023</v>
      </c>
      <c r="I63" s="753">
        <v>20</v>
      </c>
    </row>
    <row r="64" spans="1:9" ht="46.5" customHeight="1" x14ac:dyDescent="0.4">
      <c r="A64" s="175">
        <v>47</v>
      </c>
      <c r="B64" s="766" t="s">
        <v>392</v>
      </c>
      <c r="C64" s="766" t="s">
        <v>70</v>
      </c>
      <c r="D64" s="766">
        <v>300</v>
      </c>
      <c r="E64" s="769"/>
      <c r="H64" s="729" t="s">
        <v>1024</v>
      </c>
      <c r="I64" s="753">
        <v>25</v>
      </c>
    </row>
    <row r="65" spans="1:9" ht="46.5" customHeight="1" x14ac:dyDescent="0.4">
      <c r="A65" s="175">
        <v>48</v>
      </c>
      <c r="B65" s="766" t="s">
        <v>393</v>
      </c>
      <c r="C65" s="766" t="s">
        <v>70</v>
      </c>
      <c r="D65" s="766">
        <v>250</v>
      </c>
      <c r="E65" s="769"/>
      <c r="H65" s="182"/>
      <c r="I65" s="182"/>
    </row>
    <row r="66" spans="1:9" ht="46.5" customHeight="1" x14ac:dyDescent="0.4">
      <c r="A66" s="175">
        <v>49</v>
      </c>
      <c r="B66" s="766" t="s">
        <v>391</v>
      </c>
      <c r="C66" s="766" t="s">
        <v>59</v>
      </c>
      <c r="D66" s="766">
        <v>6</v>
      </c>
      <c r="E66" s="769"/>
    </row>
    <row r="67" spans="1:9" ht="46.5" customHeight="1" x14ac:dyDescent="0.4">
      <c r="A67" s="175">
        <v>50</v>
      </c>
      <c r="B67" s="766" t="s">
        <v>387</v>
      </c>
      <c r="C67" s="766" t="s">
        <v>59</v>
      </c>
      <c r="D67" s="766">
        <v>8</v>
      </c>
      <c r="E67" s="769"/>
    </row>
    <row r="68" spans="1:9" ht="46.5" customHeight="1" x14ac:dyDescent="0.4">
      <c r="A68" s="175">
        <v>51</v>
      </c>
      <c r="B68" s="766" t="s">
        <v>390</v>
      </c>
      <c r="C68" s="766" t="s">
        <v>59</v>
      </c>
      <c r="D68" s="766">
        <v>10</v>
      </c>
      <c r="E68" s="769"/>
    </row>
    <row r="69" spans="1:9" ht="46.5" customHeight="1" x14ac:dyDescent="0.4">
      <c r="A69" s="175">
        <v>52</v>
      </c>
      <c r="B69" s="766" t="s">
        <v>394</v>
      </c>
      <c r="C69" s="766" t="s">
        <v>59</v>
      </c>
      <c r="D69" s="766">
        <v>10</v>
      </c>
      <c r="E69" s="769"/>
    </row>
    <row r="70" spans="1:9" ht="46.5" customHeight="1" x14ac:dyDescent="0.4">
      <c r="A70" s="175">
        <v>53</v>
      </c>
      <c r="B70" s="766" t="s">
        <v>395</v>
      </c>
      <c r="C70" s="766" t="s">
        <v>59</v>
      </c>
      <c r="D70" s="766">
        <v>12</v>
      </c>
      <c r="E70" s="769"/>
    </row>
    <row r="71" spans="1:9" ht="46.5" customHeight="1" x14ac:dyDescent="0.4">
      <c r="A71" s="175">
        <v>54</v>
      </c>
      <c r="B71" s="768" t="s">
        <v>397</v>
      </c>
      <c r="C71" s="766" t="s">
        <v>59</v>
      </c>
      <c r="D71" s="766">
        <v>12</v>
      </c>
      <c r="E71" s="769"/>
    </row>
    <row r="72" spans="1:9" ht="46.5" customHeight="1" x14ac:dyDescent="0.4">
      <c r="A72" s="175">
        <v>55</v>
      </c>
      <c r="B72" s="768" t="s">
        <v>396</v>
      </c>
      <c r="C72" s="766" t="s">
        <v>59</v>
      </c>
      <c r="D72" s="766">
        <v>15</v>
      </c>
      <c r="E72" s="769"/>
    </row>
    <row r="73" spans="1:9" ht="46.5" customHeight="1" x14ac:dyDescent="0.4">
      <c r="A73" s="175">
        <v>56</v>
      </c>
      <c r="B73" s="768" t="s">
        <v>398</v>
      </c>
      <c r="C73" s="766" t="s">
        <v>59</v>
      </c>
      <c r="D73" s="766">
        <v>18</v>
      </c>
      <c r="E73" s="769"/>
    </row>
    <row r="74" spans="1:9" ht="46.5" customHeight="1" x14ac:dyDescent="0.4">
      <c r="A74" s="175">
        <v>57</v>
      </c>
      <c r="B74" s="768" t="s">
        <v>401</v>
      </c>
      <c r="C74" s="766" t="s">
        <v>59</v>
      </c>
      <c r="D74" s="766">
        <v>20</v>
      </c>
      <c r="E74" s="769"/>
    </row>
    <row r="75" spans="1:9" s="771" customFormat="1" ht="75.75" customHeight="1" x14ac:dyDescent="0.4">
      <c r="A75" s="733"/>
      <c r="B75" s="736" t="s">
        <v>1196</v>
      </c>
      <c r="C75" s="733"/>
      <c r="D75" s="733"/>
      <c r="E75" s="770"/>
      <c r="G75" s="772"/>
      <c r="H75" s="773"/>
      <c r="I75" s="773"/>
    </row>
    <row r="76" spans="1:9" ht="40.5" customHeight="1" x14ac:dyDescent="0.4">
      <c r="A76" s="743"/>
      <c r="B76" s="728" t="s">
        <v>1189</v>
      </c>
      <c r="C76" s="743"/>
      <c r="D76" s="743"/>
      <c r="E76" s="760"/>
    </row>
    <row r="77" spans="1:9" ht="57" customHeight="1" x14ac:dyDescent="0.4">
      <c r="A77" s="763">
        <v>59</v>
      </c>
      <c r="B77" s="774" t="s">
        <v>1060</v>
      </c>
      <c r="C77" s="763" t="s">
        <v>12</v>
      </c>
      <c r="D77" s="763">
        <v>7</v>
      </c>
      <c r="E77" s="769"/>
    </row>
    <row r="78" spans="1:9" ht="57" customHeight="1" x14ac:dyDescent="0.4">
      <c r="A78" s="763">
        <v>60</v>
      </c>
      <c r="B78" s="774" t="s">
        <v>1066</v>
      </c>
      <c r="C78" s="763" t="s">
        <v>12</v>
      </c>
      <c r="D78" s="763">
        <v>12</v>
      </c>
      <c r="E78" s="769"/>
    </row>
    <row r="79" spans="1:9" ht="57" customHeight="1" x14ac:dyDescent="0.4">
      <c r="A79" s="763">
        <v>62</v>
      </c>
      <c r="B79" s="774" t="s">
        <v>1061</v>
      </c>
      <c r="C79" s="763" t="s">
        <v>12</v>
      </c>
      <c r="D79" s="763">
        <v>12</v>
      </c>
      <c r="E79" s="769"/>
    </row>
    <row r="80" spans="1:9" ht="57" customHeight="1" x14ac:dyDescent="0.4">
      <c r="A80" s="763">
        <v>63</v>
      </c>
      <c r="B80" s="774" t="s">
        <v>1062</v>
      </c>
      <c r="C80" s="763" t="s">
        <v>12</v>
      </c>
      <c r="D80" s="763">
        <v>15</v>
      </c>
      <c r="E80" s="769"/>
    </row>
    <row r="81" spans="1:9" ht="57" customHeight="1" x14ac:dyDescent="0.4">
      <c r="A81" s="763">
        <v>64</v>
      </c>
      <c r="B81" s="774" t="s">
        <v>1063</v>
      </c>
      <c r="C81" s="763" t="s">
        <v>12</v>
      </c>
      <c r="D81" s="763">
        <v>25</v>
      </c>
      <c r="E81" s="769"/>
    </row>
    <row r="82" spans="1:9" ht="57" customHeight="1" x14ac:dyDescent="0.4">
      <c r="A82" s="763">
        <v>65</v>
      </c>
      <c r="B82" s="774" t="s">
        <v>1064</v>
      </c>
      <c r="C82" s="763" t="s">
        <v>12</v>
      </c>
      <c r="D82" s="763">
        <v>30</v>
      </c>
      <c r="E82" s="769"/>
    </row>
    <row r="83" spans="1:9" ht="57" customHeight="1" x14ac:dyDescent="0.4">
      <c r="A83" s="763">
        <v>66</v>
      </c>
      <c r="B83" s="774" t="s">
        <v>1065</v>
      </c>
      <c r="C83" s="763" t="s">
        <v>12</v>
      </c>
      <c r="D83" s="763">
        <v>60</v>
      </c>
      <c r="E83" s="769"/>
    </row>
    <row r="84" spans="1:9" ht="57" customHeight="1" x14ac:dyDescent="0.4">
      <c r="A84" s="763"/>
      <c r="B84" s="774" t="s">
        <v>1067</v>
      </c>
      <c r="C84" s="763" t="s">
        <v>12</v>
      </c>
      <c r="D84" s="763">
        <v>3</v>
      </c>
      <c r="E84" s="769"/>
    </row>
    <row r="85" spans="1:9" ht="57" customHeight="1" x14ac:dyDescent="0.4">
      <c r="A85" s="763"/>
      <c r="B85" s="774" t="s">
        <v>1068</v>
      </c>
      <c r="C85" s="763" t="s">
        <v>12</v>
      </c>
      <c r="D85" s="763">
        <v>4</v>
      </c>
      <c r="E85" s="769"/>
    </row>
    <row r="86" spans="1:9" ht="57" customHeight="1" x14ac:dyDescent="0.4">
      <c r="A86" s="763"/>
      <c r="B86" s="774" t="s">
        <v>1069</v>
      </c>
      <c r="C86" s="763" t="s">
        <v>12</v>
      </c>
      <c r="D86" s="763">
        <v>10</v>
      </c>
      <c r="E86" s="769"/>
    </row>
    <row r="87" spans="1:9" ht="57" customHeight="1" x14ac:dyDescent="0.4">
      <c r="A87" s="763"/>
      <c r="B87" s="774" t="s">
        <v>1070</v>
      </c>
      <c r="C87" s="763" t="s">
        <v>12</v>
      </c>
      <c r="D87" s="763">
        <v>1200</v>
      </c>
      <c r="E87" s="769"/>
    </row>
    <row r="88" spans="1:9" ht="43.5" customHeight="1" x14ac:dyDescent="0.4">
      <c r="A88" s="743"/>
      <c r="B88" s="728" t="s">
        <v>1190</v>
      </c>
      <c r="C88" s="743"/>
      <c r="D88" s="743"/>
      <c r="E88" s="760"/>
    </row>
    <row r="89" spans="1:9" ht="39" customHeight="1" x14ac:dyDescent="0.4">
      <c r="A89" s="775"/>
      <c r="B89" s="732" t="s">
        <v>1025</v>
      </c>
      <c r="C89" s="753"/>
      <c r="D89" s="742"/>
      <c r="E89" s="760"/>
    </row>
    <row r="90" spans="1:9" ht="48" customHeight="1" x14ac:dyDescent="0.4">
      <c r="A90" s="776"/>
      <c r="B90" s="777" t="s">
        <v>1026</v>
      </c>
      <c r="C90" s="778"/>
      <c r="D90" s="779">
        <v>2</v>
      </c>
      <c r="E90" s="760"/>
    </row>
    <row r="91" spans="1:9" ht="48" customHeight="1" x14ac:dyDescent="0.4">
      <c r="A91" s="776"/>
      <c r="B91" s="777" t="s">
        <v>1027</v>
      </c>
      <c r="C91" s="778"/>
      <c r="D91" s="779">
        <v>5</v>
      </c>
      <c r="E91" s="760"/>
    </row>
    <row r="92" spans="1:9" ht="48" customHeight="1" x14ac:dyDescent="0.4">
      <c r="A92" s="776"/>
      <c r="B92" s="777" t="s">
        <v>1028</v>
      </c>
      <c r="C92" s="778"/>
      <c r="D92" s="779">
        <v>10</v>
      </c>
      <c r="E92" s="760"/>
    </row>
    <row r="93" spans="1:9" ht="48" customHeight="1" x14ac:dyDescent="0.4">
      <c r="A93" s="776"/>
      <c r="B93" s="777" t="s">
        <v>1029</v>
      </c>
      <c r="C93" s="778"/>
      <c r="D93" s="779">
        <v>6</v>
      </c>
      <c r="E93" s="760"/>
    </row>
    <row r="94" spans="1:9" ht="48" customHeight="1" x14ac:dyDescent="0.4">
      <c r="A94" s="776"/>
      <c r="B94" s="777" t="s">
        <v>1030</v>
      </c>
      <c r="C94" s="778"/>
      <c r="D94" s="779">
        <v>9</v>
      </c>
      <c r="E94" s="760"/>
    </row>
    <row r="95" spans="1:9" s="781" customFormat="1" ht="33" x14ac:dyDescent="0.4">
      <c r="A95" s="742"/>
      <c r="B95" s="728" t="s">
        <v>1192</v>
      </c>
      <c r="C95" s="742"/>
      <c r="D95" s="742"/>
      <c r="E95" s="780"/>
      <c r="G95" s="782"/>
      <c r="H95" s="783"/>
      <c r="I95" s="783"/>
    </row>
    <row r="96" spans="1:9" ht="52.5" customHeight="1" x14ac:dyDescent="0.4">
      <c r="A96" s="175"/>
      <c r="B96" s="784" t="s">
        <v>1003</v>
      </c>
      <c r="C96" s="761"/>
      <c r="D96" s="761">
        <v>30</v>
      </c>
      <c r="E96" s="752"/>
      <c r="H96" s="801" t="s">
        <v>973</v>
      </c>
    </row>
    <row r="97" spans="1:9" ht="29.25" customHeight="1" x14ac:dyDescent="0.4">
      <c r="A97" s="742"/>
      <c r="B97" s="784" t="s">
        <v>1004</v>
      </c>
      <c r="C97" s="761"/>
      <c r="D97" s="761">
        <v>25</v>
      </c>
      <c r="E97" s="752"/>
      <c r="H97" s="729" t="s">
        <v>974</v>
      </c>
    </row>
    <row r="98" spans="1:9" ht="52.5" x14ac:dyDescent="0.4">
      <c r="A98" s="175"/>
      <c r="B98" s="728" t="s">
        <v>1191</v>
      </c>
      <c r="C98" s="175"/>
      <c r="D98" s="175"/>
      <c r="E98" s="752"/>
      <c r="H98" s="729" t="s">
        <v>975</v>
      </c>
    </row>
    <row r="99" spans="1:9" ht="71.25" customHeight="1" x14ac:dyDescent="0.4">
      <c r="A99" s="742"/>
      <c r="B99" s="732" t="s">
        <v>1006</v>
      </c>
      <c r="C99" s="733"/>
      <c r="D99" s="733"/>
      <c r="E99" s="752"/>
      <c r="H99" s="729" t="s">
        <v>976</v>
      </c>
    </row>
    <row r="100" spans="1:9" ht="71.25" customHeight="1" x14ac:dyDescent="0.4">
      <c r="A100" s="766"/>
      <c r="B100" s="768" t="s">
        <v>1007</v>
      </c>
      <c r="C100" s="766"/>
      <c r="D100" s="766">
        <v>30</v>
      </c>
      <c r="E100" s="752"/>
      <c r="H100" s="729" t="s">
        <v>977</v>
      </c>
    </row>
    <row r="101" spans="1:9" s="781" customFormat="1" ht="33" x14ac:dyDescent="0.4">
      <c r="A101" s="742"/>
      <c r="B101" s="728" t="s">
        <v>1193</v>
      </c>
      <c r="C101" s="742"/>
      <c r="D101" s="742"/>
      <c r="E101" s="780"/>
      <c r="G101" s="782"/>
      <c r="H101" s="783"/>
      <c r="I101" s="783"/>
    </row>
    <row r="102" spans="1:9" ht="41.25" customHeight="1" x14ac:dyDescent="0.4">
      <c r="A102" s="175"/>
      <c r="B102" s="729" t="s">
        <v>1009</v>
      </c>
      <c r="C102" s="175"/>
      <c r="D102" s="175">
        <v>20</v>
      </c>
      <c r="E102" s="752"/>
    </row>
    <row r="103" spans="1:9" s="781" customFormat="1" ht="33" x14ac:dyDescent="0.4">
      <c r="A103" s="742"/>
      <c r="B103" s="728" t="s">
        <v>1195</v>
      </c>
      <c r="C103" s="742"/>
      <c r="D103" s="742"/>
      <c r="E103" s="780"/>
      <c r="G103" s="782"/>
      <c r="H103" s="783"/>
      <c r="I103" s="783"/>
    </row>
    <row r="104" spans="1:9" ht="51.75" customHeight="1" x14ac:dyDescent="0.4">
      <c r="A104" s="175"/>
      <c r="B104" s="750" t="s">
        <v>1011</v>
      </c>
      <c r="C104" s="175"/>
      <c r="D104" s="175"/>
      <c r="E104" s="752"/>
    </row>
    <row r="105" spans="1:9" s="781" customFormat="1" ht="33" x14ac:dyDescent="0.4">
      <c r="A105" s="742"/>
      <c r="B105" s="728" t="s">
        <v>1194</v>
      </c>
      <c r="C105" s="742"/>
      <c r="D105" s="742"/>
      <c r="E105" s="780"/>
      <c r="G105" s="782"/>
      <c r="H105" s="783"/>
      <c r="I105" s="783"/>
    </row>
    <row r="106" spans="1:9" ht="65.25" customHeight="1" x14ac:dyDescent="0.4">
      <c r="A106" s="175"/>
      <c r="B106" s="732" t="s">
        <v>1041</v>
      </c>
      <c r="C106" s="733"/>
      <c r="D106" s="733"/>
      <c r="E106" s="752"/>
    </row>
    <row r="107" spans="1:9" ht="57" customHeight="1" x14ac:dyDescent="0.4">
      <c r="A107" s="742"/>
      <c r="B107" s="734" t="s">
        <v>1042</v>
      </c>
      <c r="C107" s="735"/>
      <c r="D107" s="735"/>
      <c r="E107" s="752"/>
    </row>
    <row r="108" spans="1:9" x14ac:dyDescent="0.4">
      <c r="A108" s="742"/>
      <c r="B108" s="785" t="s">
        <v>1043</v>
      </c>
      <c r="C108" s="786"/>
      <c r="D108" s="786">
        <v>45</v>
      </c>
      <c r="E108" s="752"/>
    </row>
    <row r="109" spans="1:9" x14ac:dyDescent="0.4">
      <c r="A109" s="742"/>
      <c r="B109" s="785" t="s">
        <v>1044</v>
      </c>
      <c r="C109" s="786"/>
      <c r="D109" s="786">
        <v>45</v>
      </c>
      <c r="E109" s="752"/>
    </row>
    <row r="110" spans="1:9" x14ac:dyDescent="0.4">
      <c r="A110" s="742"/>
      <c r="B110" s="785" t="s">
        <v>1045</v>
      </c>
      <c r="C110" s="786"/>
      <c r="D110" s="786">
        <v>45</v>
      </c>
      <c r="E110" s="752"/>
    </row>
    <row r="111" spans="1:9" ht="52.5" x14ac:dyDescent="0.4">
      <c r="A111" s="742"/>
      <c r="B111" s="785" t="s">
        <v>1046</v>
      </c>
      <c r="C111" s="786"/>
      <c r="D111" s="786">
        <v>80</v>
      </c>
      <c r="E111" s="752"/>
    </row>
    <row r="112" spans="1:9" x14ac:dyDescent="0.4">
      <c r="A112" s="742"/>
      <c r="B112" s="785" t="s">
        <v>1047</v>
      </c>
      <c r="C112" s="786"/>
      <c r="D112" s="786">
        <v>80</v>
      </c>
      <c r="E112" s="752"/>
    </row>
    <row r="113" spans="1:5" x14ac:dyDescent="0.4">
      <c r="A113" s="742"/>
      <c r="B113" s="785" t="s">
        <v>1048</v>
      </c>
      <c r="C113" s="786"/>
      <c r="D113" s="786">
        <v>80</v>
      </c>
      <c r="E113" s="752"/>
    </row>
    <row r="114" spans="1:5" x14ac:dyDescent="0.4">
      <c r="A114" s="742"/>
      <c r="B114" s="734" t="s">
        <v>1049</v>
      </c>
      <c r="C114" s="742"/>
      <c r="D114" s="742"/>
      <c r="E114" s="752"/>
    </row>
    <row r="115" spans="1:5" x14ac:dyDescent="0.4">
      <c r="A115" s="742"/>
      <c r="B115" s="785" t="s">
        <v>1050</v>
      </c>
      <c r="C115" s="786"/>
      <c r="D115" s="786">
        <v>40</v>
      </c>
      <c r="E115" s="752"/>
    </row>
    <row r="116" spans="1:5" x14ac:dyDescent="0.4">
      <c r="A116" s="742"/>
      <c r="B116" s="785" t="s">
        <v>1051</v>
      </c>
      <c r="C116" s="786"/>
      <c r="D116" s="786">
        <v>40</v>
      </c>
      <c r="E116" s="752"/>
    </row>
    <row r="117" spans="1:5" x14ac:dyDescent="0.4">
      <c r="A117" s="742"/>
      <c r="B117" s="785" t="s">
        <v>1052</v>
      </c>
      <c r="C117" s="786"/>
      <c r="D117" s="786">
        <v>40</v>
      </c>
      <c r="E117" s="752"/>
    </row>
    <row r="118" spans="1:5" x14ac:dyDescent="0.4">
      <c r="A118" s="742"/>
      <c r="B118" s="734" t="s">
        <v>1053</v>
      </c>
      <c r="C118" s="742"/>
      <c r="D118" s="742"/>
      <c r="E118" s="752"/>
    </row>
    <row r="119" spans="1:5" x14ac:dyDescent="0.4">
      <c r="A119" s="742"/>
      <c r="B119" s="785" t="s">
        <v>1054</v>
      </c>
      <c r="C119" s="786"/>
      <c r="D119" s="786">
        <v>15</v>
      </c>
      <c r="E119" s="752"/>
    </row>
    <row r="120" spans="1:5" x14ac:dyDescent="0.4">
      <c r="A120" s="742"/>
      <c r="B120" s="785" t="s">
        <v>1055</v>
      </c>
      <c r="C120" s="786"/>
      <c r="D120" s="786">
        <v>20</v>
      </c>
      <c r="E120" s="752"/>
    </row>
    <row r="121" spans="1:5" x14ac:dyDescent="0.4">
      <c r="A121" s="742"/>
      <c r="B121" s="734" t="s">
        <v>1056</v>
      </c>
      <c r="C121" s="742"/>
      <c r="D121" s="742"/>
      <c r="E121" s="752"/>
    </row>
    <row r="122" spans="1:5" x14ac:dyDescent="0.4">
      <c r="A122" s="742"/>
      <c r="B122" s="785" t="s">
        <v>1057</v>
      </c>
      <c r="C122" s="786"/>
      <c r="D122" s="786">
        <v>600</v>
      </c>
      <c r="E122" s="752"/>
    </row>
    <row r="123" spans="1:5" ht="52.5" x14ac:dyDescent="0.4">
      <c r="A123" s="742"/>
      <c r="B123" s="785" t="s">
        <v>1058</v>
      </c>
      <c r="C123" s="786"/>
      <c r="D123" s="786">
        <v>300</v>
      </c>
      <c r="E123" s="752"/>
    </row>
    <row r="124" spans="1:5" x14ac:dyDescent="0.4">
      <c r="A124" s="175"/>
      <c r="B124" s="750"/>
      <c r="C124" s="175"/>
      <c r="D124" s="175"/>
      <c r="E124" s="752"/>
    </row>
  </sheetData>
  <mergeCells count="17">
    <mergeCell ref="H35:I35"/>
    <mergeCell ref="H42:I42"/>
    <mergeCell ref="H43:I43"/>
    <mergeCell ref="H48:I48"/>
    <mergeCell ref="H52:I52"/>
    <mergeCell ref="A1:E1"/>
    <mergeCell ref="A2:E2"/>
    <mergeCell ref="H26:I26"/>
    <mergeCell ref="H32:I32"/>
    <mergeCell ref="G3:G4"/>
    <mergeCell ref="G5:G6"/>
    <mergeCell ref="G9:G10"/>
    <mergeCell ref="G7:G8"/>
    <mergeCell ref="H13:I13"/>
    <mergeCell ref="H15:I15"/>
    <mergeCell ref="H18:I18"/>
    <mergeCell ref="H22:I22"/>
  </mergeCells>
  <hyperlinks>
    <hyperlink ref="J2" location="cover!A1" display="cover!A1" xr:uid="{00000000-0004-0000-0F00-000000000000}"/>
  </hyperlinks>
  <pageMargins left="0.70866141732283472" right="0.70866141732283472" top="0.74803149606299213" bottom="0.74803149606299213" header="0.31496062992125984" footer="0.31496062992125984"/>
  <pageSetup paperSize="9" orientation="portrait" r:id="rId1"/>
  <drawing r:id="rId2"/>
  <tableParts count="1">
    <tablePart r:id="rId3"/>
  </tablePart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tint="0.39997558519241921"/>
    <pageSetUpPr fitToPage="1"/>
  </sheetPr>
  <dimension ref="A1:O288"/>
  <sheetViews>
    <sheetView rightToLeft="1" zoomScale="80" zoomScaleNormal="80" zoomScaleSheetLayoutView="80" zoomScalePageLayoutView="40" workbookViewId="0">
      <pane xSplit="1" ySplit="3" topLeftCell="B4" activePane="bottomRight" state="frozen"/>
      <selection pane="topRight" activeCell="B1" sqref="B1"/>
      <selection pane="bottomLeft" activeCell="A4" sqref="A4"/>
      <selection pane="bottomRight" activeCell="C272" sqref="C272:I272"/>
    </sheetView>
  </sheetViews>
  <sheetFormatPr defaultColWidth="9" defaultRowHeight="35.1" customHeight="1" x14ac:dyDescent="0.25"/>
  <cols>
    <col min="1" max="1" width="4.28515625" style="20" customWidth="1"/>
    <col min="2" max="2" width="6.28515625" style="38" customWidth="1"/>
    <col min="3" max="3" width="25.85546875" style="20" customWidth="1"/>
    <col min="4" max="4" width="11" style="29" customWidth="1"/>
    <col min="5" max="5" width="24.28515625" style="20" customWidth="1"/>
    <col min="6" max="6" width="13" style="17" customWidth="1"/>
    <col min="7" max="7" width="15.140625" style="17" customWidth="1"/>
    <col min="8" max="8" width="15.28515625" style="17" customWidth="1"/>
    <col min="9" max="9" width="14.28515625" style="17" customWidth="1"/>
    <col min="10" max="10" width="14.5703125" style="30" customWidth="1"/>
    <col min="11" max="11" width="3.85546875" style="20" hidden="1" customWidth="1"/>
    <col min="12" max="12" width="4.85546875" style="20" hidden="1" customWidth="1"/>
    <col min="13" max="13" width="10.42578125" style="2" customWidth="1"/>
    <col min="14" max="16384" width="9" style="2"/>
  </cols>
  <sheetData>
    <row r="1" spans="1:14" s="1" customFormat="1" ht="36.75" x14ac:dyDescent="0.25">
      <c r="A1" s="11"/>
      <c r="B1" s="1241" t="str">
        <f>'خرسانة مسلحة'!B1:J1</f>
        <v>تحليل اسعار</v>
      </c>
      <c r="C1" s="1241"/>
      <c r="D1" s="1241"/>
      <c r="E1" s="1241"/>
      <c r="F1" s="1241"/>
      <c r="G1" s="1241"/>
      <c r="H1" s="1241"/>
      <c r="I1" s="1241"/>
      <c r="J1" s="1241"/>
      <c r="K1" s="19"/>
      <c r="L1" s="12"/>
    </row>
    <row r="2" spans="1:14" ht="21.75" thickBot="1" x14ac:dyDescent="0.3">
      <c r="B2" s="1242" t="s">
        <v>186</v>
      </c>
      <c r="C2" s="1242"/>
      <c r="D2" s="1242"/>
      <c r="E2" s="1242"/>
      <c r="F2" s="1242"/>
      <c r="G2" s="1242"/>
      <c r="H2" s="1242"/>
      <c r="I2" s="1242"/>
      <c r="J2" s="1242"/>
    </row>
    <row r="3" spans="1:14" s="5" customFormat="1" ht="69.75" customHeight="1" thickTop="1" thickBot="1" x14ac:dyDescent="0.3">
      <c r="A3" s="27"/>
      <c r="B3" s="108" t="s">
        <v>0</v>
      </c>
      <c r="C3" s="109" t="s">
        <v>1</v>
      </c>
      <c r="D3" s="1243" t="s">
        <v>2</v>
      </c>
      <c r="E3" s="1244"/>
      <c r="F3" s="110" t="s">
        <v>3</v>
      </c>
      <c r="G3" s="111" t="s">
        <v>4</v>
      </c>
      <c r="H3" s="111" t="s">
        <v>5</v>
      </c>
      <c r="I3" s="111" t="s">
        <v>6</v>
      </c>
      <c r="J3" s="112" t="s">
        <v>7</v>
      </c>
      <c r="K3" s="113"/>
      <c r="L3" s="114"/>
    </row>
    <row r="4" spans="1:14" s="5" customFormat="1" ht="26.25" customHeight="1" x14ac:dyDescent="0.25">
      <c r="A4" s="27"/>
      <c r="B4" s="1245" t="s">
        <v>203</v>
      </c>
      <c r="C4" s="1246"/>
      <c r="D4" s="1246"/>
      <c r="E4" s="1246"/>
      <c r="F4" s="1246"/>
      <c r="G4" s="1246"/>
      <c r="H4" s="1246"/>
      <c r="I4" s="1246"/>
      <c r="J4" s="1247"/>
      <c r="K4" s="53"/>
      <c r="L4" s="31"/>
    </row>
    <row r="5" spans="1:14" ht="21" x14ac:dyDescent="0.25">
      <c r="B5" s="64">
        <v>1</v>
      </c>
      <c r="C5" s="92" t="s">
        <v>46</v>
      </c>
      <c r="D5" s="1236" t="s">
        <v>14</v>
      </c>
      <c r="E5" s="93" t="s">
        <v>47</v>
      </c>
      <c r="F5" s="89" t="s">
        <v>48</v>
      </c>
      <c r="G5" s="89">
        <f>'اسعار الخامات'!E15</f>
        <v>429</v>
      </c>
      <c r="H5" s="89">
        <v>6.5000000000000002E-2</v>
      </c>
      <c r="I5" s="88">
        <v>0.2</v>
      </c>
      <c r="J5" s="65">
        <f>H5*G5+(I5*H5*G5)</f>
        <v>33.462000000000003</v>
      </c>
      <c r="K5" s="54"/>
      <c r="L5" s="23"/>
    </row>
    <row r="6" spans="1:14" ht="21" x14ac:dyDescent="0.25">
      <c r="B6" s="64"/>
      <c r="C6" s="92" t="s">
        <v>440</v>
      </c>
      <c r="D6" s="1196"/>
      <c r="E6" s="25" t="s">
        <v>18</v>
      </c>
      <c r="F6" s="89" t="s">
        <v>19</v>
      </c>
      <c r="G6" s="95">
        <f>'اسعار الخامات'!E7</f>
        <v>650</v>
      </c>
      <c r="H6" s="96">
        <f>0.3/22</f>
        <v>1.3636363636363636E-2</v>
      </c>
      <c r="I6" s="88">
        <v>0.05</v>
      </c>
      <c r="J6" s="65">
        <f>H6*G6+(I6*H6*G6)</f>
        <v>9.3068181818181817</v>
      </c>
      <c r="K6" s="54"/>
      <c r="L6" s="23"/>
    </row>
    <row r="7" spans="1:14" ht="21" x14ac:dyDescent="0.25">
      <c r="B7" s="64"/>
      <c r="C7" s="92"/>
      <c r="D7" s="1196"/>
      <c r="E7" s="25" t="s">
        <v>21</v>
      </c>
      <c r="F7" s="89" t="s">
        <v>12</v>
      </c>
      <c r="G7" s="89">
        <f>'اسعار الخامات'!E9</f>
        <v>35</v>
      </c>
      <c r="H7" s="96">
        <v>2.3E-2</v>
      </c>
      <c r="I7" s="88">
        <v>0.1</v>
      </c>
      <c r="J7" s="65">
        <f>H7*G7+(I7*H7*G7)</f>
        <v>0.88549999999999995</v>
      </c>
      <c r="K7" s="54"/>
      <c r="L7" s="23"/>
    </row>
    <row r="8" spans="1:14" ht="21" x14ac:dyDescent="0.25">
      <c r="B8" s="64"/>
      <c r="C8" s="92"/>
      <c r="D8" s="1196"/>
      <c r="E8" s="25" t="s">
        <v>15</v>
      </c>
      <c r="F8" s="89" t="s">
        <v>12</v>
      </c>
      <c r="G8" s="89">
        <f>'اسعار الخامات'!E12</f>
        <v>13</v>
      </c>
      <c r="H8" s="96">
        <v>2.3E-2</v>
      </c>
      <c r="I8" s="88">
        <v>0.1</v>
      </c>
      <c r="J8" s="65">
        <f>H8*G8+(I8*H8*G8)</f>
        <v>0.32889999999999997</v>
      </c>
      <c r="K8" s="54"/>
      <c r="L8" s="23"/>
    </row>
    <row r="9" spans="1:14" ht="21" x14ac:dyDescent="0.25">
      <c r="B9" s="64"/>
      <c r="C9" s="92"/>
      <c r="D9" s="1196" t="s">
        <v>11</v>
      </c>
      <c r="E9" s="25" t="s">
        <v>50</v>
      </c>
      <c r="F9" s="89" t="s">
        <v>45</v>
      </c>
      <c r="G9" s="1200">
        <f>'اسعار المصنعيات'!D14</f>
        <v>17</v>
      </c>
      <c r="H9" s="1200">
        <v>1</v>
      </c>
      <c r="I9" s="1200">
        <v>0</v>
      </c>
      <c r="J9" s="1206">
        <f>H9*G9+(I9*H9*G9)</f>
        <v>17</v>
      </c>
      <c r="K9" s="54"/>
      <c r="L9" s="23"/>
    </row>
    <row r="10" spans="1:14" ht="21" x14ac:dyDescent="0.25">
      <c r="B10" s="64"/>
      <c r="C10" s="92"/>
      <c r="D10" s="1196"/>
      <c r="E10" s="25" t="s">
        <v>51</v>
      </c>
      <c r="F10" s="89" t="s">
        <v>45</v>
      </c>
      <c r="G10" s="1200"/>
      <c r="H10" s="1200"/>
      <c r="I10" s="1200"/>
      <c r="J10" s="1238"/>
      <c r="K10" s="54"/>
      <c r="L10" s="23"/>
    </row>
    <row r="11" spans="1:14" ht="38.25" thickBot="1" x14ac:dyDescent="0.3">
      <c r="B11" s="64"/>
      <c r="C11" s="92"/>
      <c r="D11" s="25" t="s">
        <v>16</v>
      </c>
      <c r="E11" s="97" t="s">
        <v>193</v>
      </c>
      <c r="F11" s="89" t="s">
        <v>194</v>
      </c>
      <c r="G11" s="89">
        <v>0.5</v>
      </c>
      <c r="H11" s="89">
        <v>1</v>
      </c>
      <c r="I11" s="89">
        <v>0</v>
      </c>
      <c r="J11" s="65">
        <f>H11*G11</f>
        <v>0.5</v>
      </c>
      <c r="K11" s="54"/>
      <c r="L11" s="23"/>
    </row>
    <row r="12" spans="1:14" ht="36" customHeight="1" thickBot="1" x14ac:dyDescent="0.3">
      <c r="B12" s="64"/>
      <c r="C12" s="1196" t="s">
        <v>13</v>
      </c>
      <c r="D12" s="1196"/>
      <c r="E12" s="1196"/>
      <c r="F12" s="1196"/>
      <c r="G12" s="1196"/>
      <c r="H12" s="1196"/>
      <c r="I12" s="1196"/>
      <c r="J12" s="65">
        <f>SUM(J5:J11)</f>
        <v>61.483218181818181</v>
      </c>
      <c r="K12" s="36">
        <f>+J12*1.25</f>
        <v>76.854022727272721</v>
      </c>
      <c r="L12" s="98">
        <f>K12/J12-1</f>
        <v>0.25</v>
      </c>
      <c r="M12" s="118">
        <v>0.75</v>
      </c>
      <c r="N12" s="119">
        <f>J12/M12</f>
        <v>81.977624242424241</v>
      </c>
    </row>
    <row r="13" spans="1:14" ht="21" hidden="1" x14ac:dyDescent="0.25">
      <c r="B13" s="57">
        <v>2</v>
      </c>
      <c r="C13" s="21" t="s">
        <v>355</v>
      </c>
      <c r="D13" s="1208" t="s">
        <v>14</v>
      </c>
      <c r="E13" s="72" t="s">
        <v>335</v>
      </c>
      <c r="F13" s="51" t="s">
        <v>48</v>
      </c>
      <c r="G13" s="42">
        <f>'اسعار الخامات'!E17</f>
        <v>275</v>
      </c>
      <c r="H13" s="51">
        <f>60/1000</f>
        <v>0.06</v>
      </c>
      <c r="I13" s="13">
        <v>0.15</v>
      </c>
      <c r="J13" s="58">
        <f>H13*G13+(I13*H13*G13)</f>
        <v>18.975000000000001</v>
      </c>
      <c r="K13" s="54"/>
      <c r="L13" s="23"/>
    </row>
    <row r="14" spans="1:14" ht="21" hidden="1" x14ac:dyDescent="0.25">
      <c r="B14" s="59"/>
      <c r="C14" s="21" t="s">
        <v>192</v>
      </c>
      <c r="D14" s="1208"/>
      <c r="E14" s="22" t="s">
        <v>18</v>
      </c>
      <c r="F14" s="51" t="s">
        <v>19</v>
      </c>
      <c r="G14" s="43">
        <f>'اسعار الخامات'!E7</f>
        <v>650</v>
      </c>
      <c r="H14" s="18">
        <f>0.3/22</f>
        <v>1.3636363636363636E-2</v>
      </c>
      <c r="I14" s="13">
        <v>0.05</v>
      </c>
      <c r="J14" s="58">
        <f>H14*G14+(I14*H14*G14)</f>
        <v>9.3068181818181817</v>
      </c>
      <c r="K14" s="54"/>
      <c r="L14" s="23"/>
    </row>
    <row r="15" spans="1:14" ht="21" hidden="1" x14ac:dyDescent="0.25">
      <c r="B15" s="59"/>
      <c r="C15" s="21"/>
      <c r="D15" s="1208"/>
      <c r="E15" s="22" t="s">
        <v>21</v>
      </c>
      <c r="F15" s="51" t="s">
        <v>12</v>
      </c>
      <c r="G15" s="42">
        <f>'اسعار الخامات'!E9</f>
        <v>35</v>
      </c>
      <c r="H15" s="18">
        <f>1/22</f>
        <v>4.5454545454545456E-2</v>
      </c>
      <c r="I15" s="13">
        <v>0.1</v>
      </c>
      <c r="J15" s="58">
        <f>H15*G15+(I15*H15*G15)</f>
        <v>1.7500000000000002</v>
      </c>
      <c r="K15" s="54"/>
      <c r="L15" s="23"/>
    </row>
    <row r="16" spans="1:14" ht="21" hidden="1" x14ac:dyDescent="0.25">
      <c r="B16" s="59"/>
      <c r="C16" s="21"/>
      <c r="D16" s="1208"/>
      <c r="E16" s="22" t="s">
        <v>15</v>
      </c>
      <c r="F16" s="51" t="s">
        <v>12</v>
      </c>
      <c r="G16" s="42">
        <f>'اسعار الخامات'!E12</f>
        <v>13</v>
      </c>
      <c r="H16" s="18">
        <f>1/1.25/11</f>
        <v>7.2727272727272738E-2</v>
      </c>
      <c r="I16" s="13">
        <v>0.1</v>
      </c>
      <c r="J16" s="58">
        <f>H16*G16+(I16*H16*G16)</f>
        <v>1.04</v>
      </c>
      <c r="K16" s="54"/>
      <c r="L16" s="23"/>
    </row>
    <row r="17" spans="1:14" ht="21" hidden="1" x14ac:dyDescent="0.25">
      <c r="B17" s="59"/>
      <c r="C17" s="21"/>
      <c r="D17" s="1208" t="s">
        <v>11</v>
      </c>
      <c r="E17" s="22" t="s">
        <v>50</v>
      </c>
      <c r="F17" s="51" t="s">
        <v>45</v>
      </c>
      <c r="G17" s="1229">
        <f>'اسعار المصنعيات'!D14</f>
        <v>17</v>
      </c>
      <c r="H17" s="1209">
        <v>1</v>
      </c>
      <c r="I17" s="1209">
        <v>0</v>
      </c>
      <c r="J17" s="1231">
        <f>H17*G17+(I17*H17*G17)</f>
        <v>17</v>
      </c>
      <c r="K17" s="54"/>
      <c r="L17" s="23"/>
    </row>
    <row r="18" spans="1:14" ht="21" hidden="1" x14ac:dyDescent="0.25">
      <c r="B18" s="59"/>
      <c r="C18" s="21"/>
      <c r="D18" s="1208"/>
      <c r="E18" s="22" t="s">
        <v>51</v>
      </c>
      <c r="F18" s="51" t="s">
        <v>45</v>
      </c>
      <c r="G18" s="1230"/>
      <c r="H18" s="1209"/>
      <c r="I18" s="1209"/>
      <c r="J18" s="1232"/>
      <c r="K18" s="54"/>
      <c r="L18" s="23"/>
    </row>
    <row r="19" spans="1:14" ht="37.5" hidden="1" x14ac:dyDescent="0.25">
      <c r="B19" s="59"/>
      <c r="C19" s="21"/>
      <c r="D19" s="50" t="s">
        <v>16</v>
      </c>
      <c r="E19" s="28" t="s">
        <v>193</v>
      </c>
      <c r="F19" s="51" t="s">
        <v>194</v>
      </c>
      <c r="G19" s="51">
        <f>G11</f>
        <v>0.5</v>
      </c>
      <c r="H19" s="51">
        <v>1</v>
      </c>
      <c r="I19" s="51">
        <v>0</v>
      </c>
      <c r="J19" s="58">
        <f>H19*G19</f>
        <v>0.5</v>
      </c>
      <c r="K19" s="54"/>
      <c r="L19" s="23"/>
    </row>
    <row r="20" spans="1:14" ht="21" hidden="1" x14ac:dyDescent="0.25">
      <c r="B20" s="60"/>
      <c r="C20" s="1233" t="s">
        <v>13</v>
      </c>
      <c r="D20" s="1233"/>
      <c r="E20" s="1233"/>
      <c r="F20" s="1233"/>
      <c r="G20" s="1233"/>
      <c r="H20" s="1233"/>
      <c r="I20" s="1233"/>
      <c r="J20" s="61">
        <f>SUM(J13:J19)</f>
        <v>48.57181818181818</v>
      </c>
      <c r="K20" s="36">
        <f>+J20*1.25</f>
        <v>60.714772727272724</v>
      </c>
      <c r="L20" s="24">
        <f>K20/J20-1</f>
        <v>0.25</v>
      </c>
    </row>
    <row r="21" spans="1:14" ht="21" x14ac:dyDescent="0.25">
      <c r="B21" s="64">
        <v>5</v>
      </c>
      <c r="C21" s="92" t="s">
        <v>52</v>
      </c>
      <c r="D21" s="1234" t="s">
        <v>14</v>
      </c>
      <c r="E21" s="94" t="s">
        <v>47</v>
      </c>
      <c r="F21" s="90" t="s">
        <v>48</v>
      </c>
      <c r="G21" s="90">
        <f>'اسعار الخامات'!E15</f>
        <v>429</v>
      </c>
      <c r="H21" s="96">
        <v>0.65</v>
      </c>
      <c r="I21" s="88">
        <v>0.2</v>
      </c>
      <c r="J21" s="65">
        <f>H21*G21+(I21*H21*G21)</f>
        <v>334.62</v>
      </c>
      <c r="K21" s="54"/>
      <c r="L21" s="23"/>
    </row>
    <row r="22" spans="1:14" ht="21" x14ac:dyDescent="0.25">
      <c r="B22" s="64"/>
      <c r="C22" s="92" t="s">
        <v>439</v>
      </c>
      <c r="D22" s="1235"/>
      <c r="E22" s="94" t="s">
        <v>18</v>
      </c>
      <c r="F22" s="90" t="s">
        <v>19</v>
      </c>
      <c r="G22" s="106">
        <f>'اسعار الخامات'!E7</f>
        <v>650</v>
      </c>
      <c r="H22" s="96">
        <f>0.3/4</f>
        <v>7.4999999999999997E-2</v>
      </c>
      <c r="I22" s="88">
        <v>0.05</v>
      </c>
      <c r="J22" s="65">
        <f t="shared" ref="J22:J25" si="0">H22*G22+(I22*H22*G22)</f>
        <v>51.1875</v>
      </c>
      <c r="K22" s="54"/>
      <c r="L22" s="23"/>
    </row>
    <row r="23" spans="1:14" ht="21" x14ac:dyDescent="0.25">
      <c r="B23" s="64"/>
      <c r="C23" s="92"/>
      <c r="D23" s="1235"/>
      <c r="E23" s="94" t="s">
        <v>21</v>
      </c>
      <c r="F23" s="90" t="s">
        <v>12</v>
      </c>
      <c r="G23" s="90">
        <f>'اسعار الخامات'!E9</f>
        <v>35</v>
      </c>
      <c r="H23" s="107">
        <f>1/4.4</f>
        <v>0.22727272727272727</v>
      </c>
      <c r="I23" s="88">
        <v>0.1</v>
      </c>
      <c r="J23" s="65">
        <f t="shared" si="0"/>
        <v>8.75</v>
      </c>
      <c r="K23" s="54"/>
      <c r="L23" s="23"/>
    </row>
    <row r="24" spans="1:14" ht="21" x14ac:dyDescent="0.25">
      <c r="B24" s="64"/>
      <c r="C24" s="92"/>
      <c r="D24" s="1236"/>
      <c r="E24" s="94" t="s">
        <v>15</v>
      </c>
      <c r="F24" s="90" t="s">
        <v>12</v>
      </c>
      <c r="G24" s="90">
        <f>'اسعار الخامات'!E12</f>
        <v>13</v>
      </c>
      <c r="H24" s="90">
        <v>0.23</v>
      </c>
      <c r="I24" s="88">
        <v>0.1</v>
      </c>
      <c r="J24" s="65">
        <f t="shared" si="0"/>
        <v>3.2890000000000001</v>
      </c>
      <c r="K24" s="54"/>
      <c r="L24" s="23"/>
    </row>
    <row r="25" spans="1:14" ht="21" x14ac:dyDescent="0.25">
      <c r="B25" s="64"/>
      <c r="C25" s="92"/>
      <c r="D25" s="1234" t="s">
        <v>11</v>
      </c>
      <c r="E25" s="94" t="s">
        <v>50</v>
      </c>
      <c r="F25" s="90" t="s">
        <v>12</v>
      </c>
      <c r="G25" s="1201">
        <f>'اسعار المصنعيات'!D13</f>
        <v>170</v>
      </c>
      <c r="H25" s="1201">
        <v>1</v>
      </c>
      <c r="I25" s="1201">
        <v>0</v>
      </c>
      <c r="J25" s="1206">
        <f t="shared" si="0"/>
        <v>170</v>
      </c>
      <c r="K25" s="54"/>
      <c r="L25" s="23"/>
    </row>
    <row r="26" spans="1:14" ht="21" x14ac:dyDescent="0.25">
      <c r="B26" s="64"/>
      <c r="C26" s="92"/>
      <c r="D26" s="1236"/>
      <c r="E26" s="94" t="s">
        <v>51</v>
      </c>
      <c r="F26" s="90" t="s">
        <v>12</v>
      </c>
      <c r="G26" s="1237"/>
      <c r="H26" s="1237"/>
      <c r="I26" s="1237"/>
      <c r="J26" s="1238"/>
      <c r="K26" s="54"/>
      <c r="L26" s="23"/>
    </row>
    <row r="27" spans="1:14" ht="38.25" thickBot="1" x14ac:dyDescent="0.3">
      <c r="B27" s="64"/>
      <c r="C27" s="92"/>
      <c r="D27" s="94" t="s">
        <v>16</v>
      </c>
      <c r="E27" s="97" t="s">
        <v>193</v>
      </c>
      <c r="F27" s="90" t="s">
        <v>12</v>
      </c>
      <c r="G27" s="90">
        <v>1</v>
      </c>
      <c r="H27" s="90">
        <v>1</v>
      </c>
      <c r="I27" s="90">
        <v>0</v>
      </c>
      <c r="J27" s="65">
        <f t="shared" ref="J27" si="1">H27*G27+(I27*H27*G27)</f>
        <v>1</v>
      </c>
      <c r="K27" s="54"/>
      <c r="L27" s="23"/>
    </row>
    <row r="28" spans="1:14" ht="21.75" thickBot="1" x14ac:dyDescent="0.3">
      <c r="B28" s="64"/>
      <c r="C28" s="1196" t="s">
        <v>13</v>
      </c>
      <c r="D28" s="1196"/>
      <c r="E28" s="1196"/>
      <c r="F28" s="1196"/>
      <c r="G28" s="1196"/>
      <c r="H28" s="1196"/>
      <c r="I28" s="1196"/>
      <c r="J28" s="65">
        <f>SUM(J21:J27)</f>
        <v>568.84649999999999</v>
      </c>
      <c r="K28" s="36">
        <f>+J28*1.25</f>
        <v>711.05812500000002</v>
      </c>
      <c r="L28" s="98">
        <f>K28/J28-1</f>
        <v>0.25</v>
      </c>
      <c r="M28" s="118">
        <v>0.75</v>
      </c>
      <c r="N28" s="119">
        <f>J28/M28</f>
        <v>758.46199999999999</v>
      </c>
    </row>
    <row r="29" spans="1:14" ht="21" x14ac:dyDescent="0.25">
      <c r="A29" s="2"/>
      <c r="B29" s="57">
        <v>6</v>
      </c>
      <c r="C29" s="21" t="s">
        <v>52</v>
      </c>
      <c r="D29" s="1208" t="s">
        <v>14</v>
      </c>
      <c r="E29" s="22" t="s">
        <v>47</v>
      </c>
      <c r="F29" s="51" t="s">
        <v>48</v>
      </c>
      <c r="G29" s="42">
        <f>'اسعار الخامات'!E15</f>
        <v>429</v>
      </c>
      <c r="H29" s="18">
        <f>528/1000</f>
        <v>0.52800000000000002</v>
      </c>
      <c r="I29" s="13">
        <v>0.15</v>
      </c>
      <c r="J29" s="58">
        <f>H29*G29+(I29*H29*G29)</f>
        <v>260.48880000000003</v>
      </c>
      <c r="K29" s="54"/>
      <c r="L29" s="23"/>
    </row>
    <row r="30" spans="1:14" ht="21" x14ac:dyDescent="0.25">
      <c r="A30" s="2"/>
      <c r="B30" s="59"/>
      <c r="C30" s="21" t="s">
        <v>130</v>
      </c>
      <c r="D30" s="1208"/>
      <c r="E30" s="22" t="s">
        <v>18</v>
      </c>
      <c r="F30" s="51" t="s">
        <v>19</v>
      </c>
      <c r="G30" s="44">
        <f>'اسعار الخامات'!E7</f>
        <v>650</v>
      </c>
      <c r="H30" s="18">
        <f>0.3/4</f>
        <v>7.4999999999999997E-2</v>
      </c>
      <c r="I30" s="13">
        <v>0.05</v>
      </c>
      <c r="J30" s="58">
        <f t="shared" ref="J30:J35" si="2">H30*G30+(I30*H30*G30)</f>
        <v>51.1875</v>
      </c>
      <c r="K30" s="54"/>
      <c r="L30" s="23"/>
    </row>
    <row r="31" spans="1:14" ht="21" x14ac:dyDescent="0.25">
      <c r="A31" s="2"/>
      <c r="B31" s="59"/>
      <c r="C31" s="21"/>
      <c r="D31" s="1208"/>
      <c r="E31" s="22" t="s">
        <v>21</v>
      </c>
      <c r="F31" s="51" t="s">
        <v>12</v>
      </c>
      <c r="G31" s="42">
        <f>'اسعار الخامات'!E9</f>
        <v>35</v>
      </c>
      <c r="H31" s="14">
        <f>1/4.4</f>
        <v>0.22727272727272727</v>
      </c>
      <c r="I31" s="13">
        <v>0.1</v>
      </c>
      <c r="J31" s="58">
        <f t="shared" si="2"/>
        <v>8.75</v>
      </c>
      <c r="K31" s="54"/>
      <c r="L31" s="23"/>
    </row>
    <row r="32" spans="1:14" ht="21" x14ac:dyDescent="0.25">
      <c r="A32" s="2"/>
      <c r="B32" s="59"/>
      <c r="C32" s="21"/>
      <c r="D32" s="1208"/>
      <c r="E32" s="22" t="s">
        <v>15</v>
      </c>
      <c r="F32" s="51" t="s">
        <v>12</v>
      </c>
      <c r="G32" s="42">
        <f>'اسعار الخامات'!E12</f>
        <v>13</v>
      </c>
      <c r="H32" s="51">
        <v>0.23</v>
      </c>
      <c r="I32" s="13">
        <v>0.1</v>
      </c>
      <c r="J32" s="58">
        <f t="shared" si="2"/>
        <v>3.2890000000000001</v>
      </c>
      <c r="K32" s="54"/>
      <c r="L32" s="23"/>
    </row>
    <row r="33" spans="1:14" ht="21" x14ac:dyDescent="0.25">
      <c r="A33" s="2"/>
      <c r="B33" s="59"/>
      <c r="C33" s="21"/>
      <c r="D33" s="1208" t="s">
        <v>11</v>
      </c>
      <c r="E33" s="22" t="s">
        <v>50</v>
      </c>
      <c r="F33" s="51" t="s">
        <v>12</v>
      </c>
      <c r="G33" s="1229">
        <f>'اسعار المصنعيات'!D13</f>
        <v>170</v>
      </c>
      <c r="H33" s="1239">
        <v>1</v>
      </c>
      <c r="I33" s="1239">
        <v>0</v>
      </c>
      <c r="J33" s="1182">
        <f t="shared" si="2"/>
        <v>170</v>
      </c>
      <c r="K33" s="54"/>
      <c r="L33" s="23"/>
    </row>
    <row r="34" spans="1:14" ht="21" x14ac:dyDescent="0.25">
      <c r="B34" s="59"/>
      <c r="C34" s="21"/>
      <c r="D34" s="1208"/>
      <c r="E34" s="22" t="s">
        <v>51</v>
      </c>
      <c r="F34" s="51" t="s">
        <v>12</v>
      </c>
      <c r="G34" s="1230"/>
      <c r="H34" s="1240"/>
      <c r="I34" s="1240"/>
      <c r="J34" s="1184"/>
      <c r="K34" s="54"/>
      <c r="L34" s="23"/>
    </row>
    <row r="35" spans="1:14" ht="37.5" x14ac:dyDescent="0.25">
      <c r="B35" s="59"/>
      <c r="C35" s="21"/>
      <c r="D35" s="50" t="s">
        <v>16</v>
      </c>
      <c r="E35" s="28" t="s">
        <v>193</v>
      </c>
      <c r="F35" s="51" t="s">
        <v>12</v>
      </c>
      <c r="G35" s="51">
        <v>1</v>
      </c>
      <c r="H35" s="51">
        <v>1</v>
      </c>
      <c r="I35" s="51">
        <v>0</v>
      </c>
      <c r="J35" s="58">
        <f t="shared" si="2"/>
        <v>1</v>
      </c>
      <c r="K35" s="54"/>
      <c r="L35" s="23"/>
    </row>
    <row r="36" spans="1:14" ht="26.25" customHeight="1" x14ac:dyDescent="0.25">
      <c r="B36" s="60"/>
      <c r="C36" s="1233" t="s">
        <v>13</v>
      </c>
      <c r="D36" s="1233"/>
      <c r="E36" s="1233"/>
      <c r="F36" s="1233"/>
      <c r="G36" s="1233"/>
      <c r="H36" s="1233"/>
      <c r="I36" s="1233"/>
      <c r="J36" s="61">
        <f>SUM(J29:J35)</f>
        <v>494.71530000000001</v>
      </c>
      <c r="K36" s="36">
        <f>+J36*1.25</f>
        <v>618.39412500000003</v>
      </c>
      <c r="L36" s="24">
        <f>K36/J36-1</f>
        <v>0.25</v>
      </c>
    </row>
    <row r="37" spans="1:14" s="5" customFormat="1" ht="26.25" customHeight="1" x14ac:dyDescent="0.25">
      <c r="A37" s="27"/>
      <c r="B37" s="1203" t="s">
        <v>204</v>
      </c>
      <c r="C37" s="1198"/>
      <c r="D37" s="1198"/>
      <c r="E37" s="1198"/>
      <c r="F37" s="1198"/>
      <c r="G37" s="1198"/>
      <c r="H37" s="1198"/>
      <c r="I37" s="1198"/>
      <c r="J37" s="1204"/>
      <c r="K37" s="55"/>
      <c r="L37" s="26"/>
    </row>
    <row r="38" spans="1:14" ht="21" x14ac:dyDescent="0.25">
      <c r="B38" s="59">
        <v>1</v>
      </c>
      <c r="C38" s="1207" t="s">
        <v>195</v>
      </c>
      <c r="D38" s="1208" t="s">
        <v>14</v>
      </c>
      <c r="E38" s="22" t="s">
        <v>18</v>
      </c>
      <c r="F38" s="51" t="s">
        <v>19</v>
      </c>
      <c r="G38" s="44">
        <f>'اسعار الخامات'!E7</f>
        <v>650</v>
      </c>
      <c r="H38" s="18">
        <f>(0.3/33)+(0.014/140)</f>
        <v>9.1909090909090899E-3</v>
      </c>
      <c r="I38" s="13">
        <v>0.05</v>
      </c>
      <c r="J38" s="58">
        <f t="shared" ref="J38:J43" si="3">H38*G38+(I38*H38*G38)</f>
        <v>6.2727954545454541</v>
      </c>
      <c r="K38" s="54"/>
      <c r="L38" s="23"/>
      <c r="N38" s="41"/>
    </row>
    <row r="39" spans="1:14" ht="21" x14ac:dyDescent="0.25">
      <c r="B39" s="59"/>
      <c r="C39" s="1188"/>
      <c r="D39" s="1208"/>
      <c r="E39" s="22" t="s">
        <v>15</v>
      </c>
      <c r="F39" s="51" t="s">
        <v>12</v>
      </c>
      <c r="G39" s="42">
        <f>'اسعار الخامات'!E12</f>
        <v>13</v>
      </c>
      <c r="H39" s="18">
        <f>1/33*1.5</f>
        <v>4.5454545454545456E-2</v>
      </c>
      <c r="I39" s="13">
        <v>0.1</v>
      </c>
      <c r="J39" s="58">
        <f t="shared" si="3"/>
        <v>0.65</v>
      </c>
      <c r="K39" s="54"/>
      <c r="L39" s="23"/>
    </row>
    <row r="40" spans="1:14" ht="21" x14ac:dyDescent="0.25">
      <c r="B40" s="59"/>
      <c r="C40" s="1188"/>
      <c r="D40" s="1208"/>
      <c r="E40" s="22" t="s">
        <v>21</v>
      </c>
      <c r="F40" s="51" t="s">
        <v>12</v>
      </c>
      <c r="G40" s="44">
        <f>'اسعار الخامات'!E9</f>
        <v>35</v>
      </c>
      <c r="H40" s="18">
        <f>1/33</f>
        <v>3.0303030303030304E-2</v>
      </c>
      <c r="I40" s="13">
        <v>0.1</v>
      </c>
      <c r="J40" s="58">
        <f t="shared" si="3"/>
        <v>1.1666666666666665</v>
      </c>
      <c r="K40" s="54"/>
      <c r="L40" s="23"/>
    </row>
    <row r="41" spans="1:14" ht="59.25" customHeight="1" x14ac:dyDescent="0.25">
      <c r="B41" s="59"/>
      <c r="C41" s="1188"/>
      <c r="D41" s="1202" t="s">
        <v>11</v>
      </c>
      <c r="E41" s="28" t="s">
        <v>137</v>
      </c>
      <c r="F41" s="51" t="s">
        <v>45</v>
      </c>
      <c r="G41" s="52">
        <f>'اسعار المصنعيات'!D16</f>
        <v>20</v>
      </c>
      <c r="H41" s="51">
        <v>1</v>
      </c>
      <c r="I41" s="51">
        <v>0</v>
      </c>
      <c r="J41" s="58">
        <f t="shared" si="3"/>
        <v>20</v>
      </c>
      <c r="K41" s="54"/>
      <c r="L41" s="23"/>
    </row>
    <row r="42" spans="1:14" ht="39.75" customHeight="1" x14ac:dyDescent="0.25">
      <c r="B42" s="59"/>
      <c r="C42" s="1188"/>
      <c r="D42" s="1191"/>
      <c r="E42" s="28" t="s">
        <v>196</v>
      </c>
      <c r="F42" s="51" t="s">
        <v>194</v>
      </c>
      <c r="G42" s="15">
        <v>1</v>
      </c>
      <c r="H42" s="51">
        <v>1</v>
      </c>
      <c r="I42" s="51">
        <v>0</v>
      </c>
      <c r="J42" s="58">
        <f t="shared" si="3"/>
        <v>1</v>
      </c>
      <c r="K42" s="54"/>
      <c r="L42" s="23"/>
    </row>
    <row r="43" spans="1:14" ht="36" customHeight="1" x14ac:dyDescent="0.25">
      <c r="B43" s="59"/>
      <c r="C43" s="1189"/>
      <c r="D43" s="50" t="s">
        <v>16</v>
      </c>
      <c r="E43" s="28" t="s">
        <v>193</v>
      </c>
      <c r="F43" s="51" t="s">
        <v>194</v>
      </c>
      <c r="G43" s="51">
        <v>0.5</v>
      </c>
      <c r="H43" s="51">
        <v>1</v>
      </c>
      <c r="I43" s="51">
        <v>0</v>
      </c>
      <c r="J43" s="58">
        <f t="shared" si="3"/>
        <v>0.5</v>
      </c>
      <c r="K43" s="54"/>
      <c r="L43" s="23"/>
    </row>
    <row r="44" spans="1:14" ht="21" x14ac:dyDescent="0.25">
      <c r="B44" s="60"/>
      <c r="C44" s="1185" t="s">
        <v>13</v>
      </c>
      <c r="D44" s="1186"/>
      <c r="E44" s="1186"/>
      <c r="F44" s="1186"/>
      <c r="G44" s="1186"/>
      <c r="H44" s="1186"/>
      <c r="I44" s="1187"/>
      <c r="J44" s="61">
        <f>SUM(J38:J43)</f>
        <v>29.589462121212122</v>
      </c>
      <c r="K44" s="36">
        <f>+J44*1.25</f>
        <v>36.986827651515156</v>
      </c>
      <c r="L44" s="24">
        <f>K44/J44-1</f>
        <v>0.25000000000000022</v>
      </c>
    </row>
    <row r="45" spans="1:14" ht="21" x14ac:dyDescent="0.25">
      <c r="B45" s="64">
        <v>2</v>
      </c>
      <c r="C45" s="1252" t="s">
        <v>202</v>
      </c>
      <c r="D45" s="1196" t="s">
        <v>14</v>
      </c>
      <c r="E45" s="94" t="s">
        <v>18</v>
      </c>
      <c r="F45" s="90" t="s">
        <v>19</v>
      </c>
      <c r="G45" s="106">
        <f>'اسعار الخامات'!E7</f>
        <v>650</v>
      </c>
      <c r="H45" s="90">
        <v>0.01</v>
      </c>
      <c r="I45" s="88">
        <v>0.05</v>
      </c>
      <c r="J45" s="65">
        <f t="shared" ref="J45:J52" si="4">H45*G45+(I45*H45*G45)</f>
        <v>6.8250000000000002</v>
      </c>
      <c r="K45" s="115"/>
      <c r="L45" s="116"/>
      <c r="M45" s="5"/>
      <c r="N45" s="5"/>
    </row>
    <row r="46" spans="1:14" ht="21" x14ac:dyDescent="0.25">
      <c r="B46" s="64"/>
      <c r="C46" s="1194"/>
      <c r="D46" s="1196"/>
      <c r="E46" s="94" t="s">
        <v>15</v>
      </c>
      <c r="F46" s="90" t="s">
        <v>12</v>
      </c>
      <c r="G46" s="90">
        <f>'اسعار الخامات'!E12</f>
        <v>13</v>
      </c>
      <c r="H46" s="90">
        <v>0.04</v>
      </c>
      <c r="I46" s="88">
        <v>0.1</v>
      </c>
      <c r="J46" s="65">
        <f t="shared" si="4"/>
        <v>0.57200000000000006</v>
      </c>
      <c r="K46" s="115"/>
      <c r="L46" s="116"/>
      <c r="M46" s="5"/>
      <c r="N46" s="5"/>
    </row>
    <row r="47" spans="1:14" ht="21" x14ac:dyDescent="0.25">
      <c r="B47" s="64"/>
      <c r="C47" s="1194"/>
      <c r="D47" s="1196"/>
      <c r="E47" s="94" t="s">
        <v>21</v>
      </c>
      <c r="F47" s="90" t="s">
        <v>12</v>
      </c>
      <c r="G47" s="106">
        <f>'اسعار الخامات'!E9</f>
        <v>35</v>
      </c>
      <c r="H47" s="90">
        <v>3.5999999999999997E-2</v>
      </c>
      <c r="I47" s="88">
        <v>0.2</v>
      </c>
      <c r="J47" s="65">
        <f t="shared" si="4"/>
        <v>1.512</v>
      </c>
      <c r="K47" s="115"/>
      <c r="L47" s="116"/>
      <c r="M47" s="5"/>
      <c r="N47" s="5"/>
    </row>
    <row r="48" spans="1:14" ht="21" x14ac:dyDescent="0.25">
      <c r="B48" s="64"/>
      <c r="C48" s="1194"/>
      <c r="D48" s="123"/>
      <c r="E48" s="94" t="s">
        <v>443</v>
      </c>
      <c r="F48" s="90"/>
      <c r="G48" s="106"/>
      <c r="H48" s="90"/>
      <c r="I48" s="88"/>
      <c r="J48" s="65">
        <v>2</v>
      </c>
      <c r="K48" s="115"/>
      <c r="L48" s="116"/>
      <c r="M48" s="5"/>
      <c r="N48" s="5"/>
    </row>
    <row r="49" spans="2:14" ht="59.25" customHeight="1" x14ac:dyDescent="0.25">
      <c r="B49" s="64"/>
      <c r="C49" s="1194"/>
      <c r="D49" s="1234" t="s">
        <v>11</v>
      </c>
      <c r="E49" s="97" t="s">
        <v>205</v>
      </c>
      <c r="F49" s="90" t="s">
        <v>45</v>
      </c>
      <c r="G49" s="90">
        <f>'اسعار المصنعيات'!D16</f>
        <v>20</v>
      </c>
      <c r="H49" s="90">
        <v>1</v>
      </c>
      <c r="I49" s="90">
        <v>0</v>
      </c>
      <c r="J49" s="65">
        <f t="shared" si="4"/>
        <v>20</v>
      </c>
      <c r="K49" s="115"/>
      <c r="L49" s="116"/>
      <c r="M49" s="5"/>
      <c r="N49" s="5"/>
    </row>
    <row r="50" spans="2:14" ht="59.25" customHeight="1" x14ac:dyDescent="0.25">
      <c r="B50" s="64"/>
      <c r="C50" s="1194"/>
      <c r="D50" s="1235"/>
      <c r="E50" s="97" t="s">
        <v>442</v>
      </c>
      <c r="F50" s="90" t="s">
        <v>45</v>
      </c>
      <c r="G50" s="90">
        <v>3</v>
      </c>
      <c r="H50" s="90">
        <v>1</v>
      </c>
      <c r="I50" s="90">
        <v>0</v>
      </c>
      <c r="J50" s="65">
        <f t="shared" si="4"/>
        <v>3</v>
      </c>
      <c r="K50" s="115"/>
      <c r="L50" s="116"/>
      <c r="M50" s="5"/>
      <c r="N50" s="5"/>
    </row>
    <row r="51" spans="2:14" ht="39.75" customHeight="1" x14ac:dyDescent="0.25">
      <c r="B51" s="64"/>
      <c r="C51" s="1194"/>
      <c r="D51" s="1236"/>
      <c r="E51" s="97" t="s">
        <v>196</v>
      </c>
      <c r="F51" s="90" t="s">
        <v>194</v>
      </c>
      <c r="G51" s="90">
        <v>1</v>
      </c>
      <c r="H51" s="90">
        <v>1</v>
      </c>
      <c r="I51" s="90">
        <v>0</v>
      </c>
      <c r="J51" s="65">
        <f t="shared" si="4"/>
        <v>1</v>
      </c>
      <c r="K51" s="115"/>
      <c r="L51" s="116"/>
      <c r="M51" s="5"/>
      <c r="N51" s="5"/>
    </row>
    <row r="52" spans="2:14" ht="36" customHeight="1" x14ac:dyDescent="0.25">
      <c r="B52" s="64"/>
      <c r="C52" s="1195"/>
      <c r="D52" s="94" t="s">
        <v>16</v>
      </c>
      <c r="E52" s="97" t="s">
        <v>193</v>
      </c>
      <c r="F52" s="90" t="s">
        <v>194</v>
      </c>
      <c r="G52" s="90">
        <v>0.5</v>
      </c>
      <c r="H52" s="90">
        <v>1</v>
      </c>
      <c r="I52" s="90">
        <v>0</v>
      </c>
      <c r="J52" s="65">
        <f t="shared" si="4"/>
        <v>0.5</v>
      </c>
      <c r="K52" s="115"/>
      <c r="L52" s="116"/>
      <c r="M52" s="5"/>
      <c r="N52" s="5"/>
    </row>
    <row r="53" spans="2:14" ht="21" x14ac:dyDescent="0.25">
      <c r="B53" s="64"/>
      <c r="C53" s="1197" t="s">
        <v>13</v>
      </c>
      <c r="D53" s="1198"/>
      <c r="E53" s="1198"/>
      <c r="F53" s="1198"/>
      <c r="G53" s="1198"/>
      <c r="H53" s="1198"/>
      <c r="I53" s="1199"/>
      <c r="J53" s="65">
        <f>SUM(J45:J52)</f>
        <v>35.408999999999999</v>
      </c>
      <c r="K53" s="55">
        <f>+J53*1.25</f>
        <v>44.261249999999997</v>
      </c>
      <c r="L53" s="120">
        <f>K53/J53-1</f>
        <v>0.25</v>
      </c>
      <c r="M53" s="121">
        <v>0.75</v>
      </c>
      <c r="N53" s="121">
        <f>J53/M53</f>
        <v>47.211999999999996</v>
      </c>
    </row>
    <row r="54" spans="2:14" ht="21" x14ac:dyDescent="0.25">
      <c r="B54" s="64">
        <v>3</v>
      </c>
      <c r="C54" s="1252" t="s">
        <v>197</v>
      </c>
      <c r="D54" s="1196" t="s">
        <v>14</v>
      </c>
      <c r="E54" s="94" t="s">
        <v>18</v>
      </c>
      <c r="F54" s="90" t="s">
        <v>19</v>
      </c>
      <c r="G54" s="106">
        <f>'اسعار الخامات'!E7</f>
        <v>650</v>
      </c>
      <c r="H54" s="96">
        <f>0.35/33</f>
        <v>1.0606060606060605E-2</v>
      </c>
      <c r="I54" s="88">
        <v>0.05</v>
      </c>
      <c r="J54" s="65">
        <f>H54*G54+(I54*H54*G54)</f>
        <v>7.2386363636363633</v>
      </c>
      <c r="K54" s="115"/>
      <c r="L54" s="116"/>
      <c r="M54" s="5"/>
      <c r="N54" s="5"/>
    </row>
    <row r="55" spans="2:14" ht="21" x14ac:dyDescent="0.25">
      <c r="B55" s="64"/>
      <c r="C55" s="1194"/>
      <c r="D55" s="1196"/>
      <c r="E55" s="94" t="s">
        <v>15</v>
      </c>
      <c r="F55" s="90" t="s">
        <v>12</v>
      </c>
      <c r="G55" s="90">
        <f>'اسعار الخامات'!E12</f>
        <v>13</v>
      </c>
      <c r="H55" s="96">
        <f>1/33*1.5</f>
        <v>4.5454545454545456E-2</v>
      </c>
      <c r="I55" s="88">
        <v>0.1</v>
      </c>
      <c r="J55" s="65">
        <f>H55*G55+(I55*H55*G55)</f>
        <v>0.65</v>
      </c>
      <c r="K55" s="115"/>
      <c r="L55" s="116"/>
      <c r="M55" s="5"/>
      <c r="N55" s="5"/>
    </row>
    <row r="56" spans="2:14" ht="21" x14ac:dyDescent="0.25">
      <c r="B56" s="64"/>
      <c r="C56" s="1194"/>
      <c r="D56" s="1196"/>
      <c r="E56" s="94" t="s">
        <v>21</v>
      </c>
      <c r="F56" s="90" t="s">
        <v>12</v>
      </c>
      <c r="G56" s="90">
        <f>'اسعار الخامات'!E9</f>
        <v>35</v>
      </c>
      <c r="H56" s="107">
        <f>1/33</f>
        <v>3.0303030303030304E-2</v>
      </c>
      <c r="I56" s="88">
        <v>0.2</v>
      </c>
      <c r="J56" s="65">
        <f>H56*G56+(I56*H56*G56)</f>
        <v>1.2727272727272727</v>
      </c>
      <c r="K56" s="115"/>
      <c r="L56" s="116"/>
      <c r="M56" s="5"/>
      <c r="N56" s="5"/>
    </row>
    <row r="57" spans="2:14" ht="21" x14ac:dyDescent="0.25">
      <c r="B57" s="64"/>
      <c r="C57" s="1194"/>
      <c r="D57" s="94"/>
      <c r="E57" s="94" t="s">
        <v>443</v>
      </c>
      <c r="F57" s="90"/>
      <c r="G57" s="90"/>
      <c r="H57" s="107"/>
      <c r="I57" s="88"/>
      <c r="J57" s="65">
        <v>2</v>
      </c>
      <c r="K57" s="115"/>
      <c r="L57" s="116"/>
      <c r="M57" s="5"/>
      <c r="N57" s="5"/>
    </row>
    <row r="58" spans="2:14" ht="59.25" customHeight="1" x14ac:dyDescent="0.25">
      <c r="B58" s="64"/>
      <c r="C58" s="1194"/>
      <c r="D58" s="91"/>
      <c r="E58" s="97" t="s">
        <v>442</v>
      </c>
      <c r="F58" s="90" t="s">
        <v>45</v>
      </c>
      <c r="G58" s="90">
        <v>3</v>
      </c>
      <c r="H58" s="90">
        <v>1</v>
      </c>
      <c r="I58" s="90">
        <v>0</v>
      </c>
      <c r="J58" s="65">
        <f t="shared" ref="J58" si="5">H58*G58+(I58*H58*G58)</f>
        <v>3</v>
      </c>
      <c r="K58" s="115"/>
      <c r="L58" s="116"/>
      <c r="M58" s="5"/>
      <c r="N58" s="5"/>
    </row>
    <row r="59" spans="2:14" ht="21" x14ac:dyDescent="0.25">
      <c r="B59" s="64"/>
      <c r="C59" s="1194"/>
      <c r="D59" s="1196" t="s">
        <v>11</v>
      </c>
      <c r="E59" s="94" t="s">
        <v>198</v>
      </c>
      <c r="F59" s="90" t="s">
        <v>45</v>
      </c>
      <c r="G59" s="90">
        <f>'اسعار المصنعيات'!D17</f>
        <v>25</v>
      </c>
      <c r="H59" s="90">
        <v>1</v>
      </c>
      <c r="I59" s="90">
        <v>0</v>
      </c>
      <c r="J59" s="65">
        <f>H59*G59+(I59*H59*G59)</f>
        <v>25</v>
      </c>
      <c r="K59" s="115"/>
      <c r="L59" s="116"/>
      <c r="M59" s="5"/>
      <c r="N59" s="5"/>
    </row>
    <row r="60" spans="2:14" ht="21" x14ac:dyDescent="0.25">
      <c r="B60" s="64"/>
      <c r="C60" s="1195"/>
      <c r="D60" s="1196"/>
      <c r="E60" s="94" t="s">
        <v>199</v>
      </c>
      <c r="F60" s="90" t="s">
        <v>45</v>
      </c>
      <c r="G60" s="90">
        <f>'اسعار المصنعيات'!D21+1</f>
        <v>5</v>
      </c>
      <c r="H60" s="90">
        <v>1</v>
      </c>
      <c r="I60" s="90">
        <v>0</v>
      </c>
      <c r="J60" s="65">
        <f>H60*G60+(I60*H60*G60)</f>
        <v>5</v>
      </c>
      <c r="K60" s="115"/>
      <c r="L60" s="116"/>
      <c r="M60" s="5"/>
      <c r="N60" s="5"/>
    </row>
    <row r="61" spans="2:14" ht="21" x14ac:dyDescent="0.25">
      <c r="B61" s="64"/>
      <c r="C61" s="1197" t="s">
        <v>13</v>
      </c>
      <c r="D61" s="1198"/>
      <c r="E61" s="1198"/>
      <c r="F61" s="1198"/>
      <c r="G61" s="1198"/>
      <c r="H61" s="1198"/>
      <c r="I61" s="1199"/>
      <c r="J61" s="65">
        <f>SUM(J54:J60)</f>
        <v>44.161363636363639</v>
      </c>
      <c r="K61" s="122">
        <f>+J61*1.25</f>
        <v>55.201704545454547</v>
      </c>
      <c r="L61" s="26">
        <f>K61/J61-1</f>
        <v>0.25</v>
      </c>
      <c r="M61" s="121">
        <v>0.75</v>
      </c>
      <c r="N61" s="121">
        <f>J61/M61</f>
        <v>58.881818181818183</v>
      </c>
    </row>
    <row r="62" spans="2:14" ht="21" x14ac:dyDescent="0.25">
      <c r="B62" s="59">
        <v>3</v>
      </c>
      <c r="C62" s="1207" t="s">
        <v>302</v>
      </c>
      <c r="D62" s="1208" t="s">
        <v>14</v>
      </c>
      <c r="E62" s="22" t="s">
        <v>18</v>
      </c>
      <c r="F62" s="51" t="s">
        <v>19</v>
      </c>
      <c r="G62" s="44">
        <f>'اسعار الخامات'!E7</f>
        <v>650</v>
      </c>
      <c r="H62" s="51">
        <f>0.3/50</f>
        <v>6.0000000000000001E-3</v>
      </c>
      <c r="I62" s="13">
        <v>0.05</v>
      </c>
      <c r="J62" s="58">
        <f>H62*G62+(I62*H62*G62)</f>
        <v>4.0949999999999998</v>
      </c>
      <c r="K62" s="54"/>
      <c r="L62" s="23"/>
    </row>
    <row r="63" spans="2:14" ht="21" x14ac:dyDescent="0.25">
      <c r="B63" s="59"/>
      <c r="C63" s="1188"/>
      <c r="D63" s="1208"/>
      <c r="E63" s="22" t="s">
        <v>15</v>
      </c>
      <c r="F63" s="51" t="s">
        <v>12</v>
      </c>
      <c r="G63" s="42">
        <f>'اسعار الخامات'!E12</f>
        <v>13</v>
      </c>
      <c r="H63" s="51">
        <f>1/50*1.5</f>
        <v>0.03</v>
      </c>
      <c r="I63" s="13">
        <v>0.1</v>
      </c>
      <c r="J63" s="58">
        <f>H63*G63+(I63*H63*G63)</f>
        <v>0.42899999999999999</v>
      </c>
      <c r="K63" s="54"/>
      <c r="L63" s="23"/>
    </row>
    <row r="64" spans="2:14" ht="21" x14ac:dyDescent="0.25">
      <c r="B64" s="59"/>
      <c r="C64" s="1188"/>
      <c r="D64" s="1208"/>
      <c r="E64" s="22" t="s">
        <v>21</v>
      </c>
      <c r="F64" s="51" t="s">
        <v>12</v>
      </c>
      <c r="G64" s="42">
        <f>'اسعار الخامات'!E9</f>
        <v>35</v>
      </c>
      <c r="H64" s="51">
        <f>1/50</f>
        <v>0.02</v>
      </c>
      <c r="I64" s="13">
        <v>0.1</v>
      </c>
      <c r="J64" s="58">
        <f>H64*G64+(I64*H64*G64)</f>
        <v>0.77</v>
      </c>
      <c r="K64" s="54"/>
      <c r="L64" s="23"/>
    </row>
    <row r="65" spans="1:14" ht="59.25" customHeight="1" x14ac:dyDescent="0.25">
      <c r="B65" s="64"/>
      <c r="C65" s="1188"/>
      <c r="D65" s="91"/>
      <c r="E65" s="97" t="s">
        <v>442</v>
      </c>
      <c r="F65" s="90" t="s">
        <v>45</v>
      </c>
      <c r="G65" s="90">
        <v>3</v>
      </c>
      <c r="H65" s="90">
        <v>1</v>
      </c>
      <c r="I65" s="90">
        <v>0</v>
      </c>
      <c r="J65" s="65">
        <f t="shared" ref="J65" si="6">H65*G65+(I65*H65*G65)</f>
        <v>3</v>
      </c>
      <c r="K65" s="115"/>
      <c r="L65" s="116"/>
      <c r="M65" s="5"/>
      <c r="N65" s="5"/>
    </row>
    <row r="66" spans="1:14" ht="21" x14ac:dyDescent="0.25">
      <c r="B66" s="59"/>
      <c r="C66" s="1188"/>
      <c r="D66" s="1208" t="s">
        <v>11</v>
      </c>
      <c r="E66" s="22" t="s">
        <v>198</v>
      </c>
      <c r="F66" s="51" t="s">
        <v>45</v>
      </c>
      <c r="G66" s="52">
        <f>'اسعار المصنعيات'!D17</f>
        <v>25</v>
      </c>
      <c r="H66" s="51">
        <v>1</v>
      </c>
      <c r="I66" s="51">
        <v>0</v>
      </c>
      <c r="J66" s="58">
        <f>H66*G66+(I66*H66*G66)</f>
        <v>25</v>
      </c>
      <c r="K66" s="54"/>
      <c r="L66" s="23"/>
    </row>
    <row r="67" spans="1:14" ht="21" x14ac:dyDescent="0.25">
      <c r="B67" s="59"/>
      <c r="C67" s="1189"/>
      <c r="D67" s="1208"/>
      <c r="E67" s="22" t="s">
        <v>199</v>
      </c>
      <c r="F67" s="51" t="s">
        <v>45</v>
      </c>
      <c r="G67" s="52">
        <f>'اسعار المصنعيات'!D21+1</f>
        <v>5</v>
      </c>
      <c r="H67" s="51">
        <v>1</v>
      </c>
      <c r="I67" s="51">
        <v>0</v>
      </c>
      <c r="J67" s="58">
        <f>H67*G67+(I67*H67*G67)</f>
        <v>5</v>
      </c>
      <c r="K67" s="54"/>
      <c r="L67" s="23"/>
    </row>
    <row r="68" spans="1:14" ht="21" x14ac:dyDescent="0.25">
      <c r="B68" s="60"/>
      <c r="C68" s="1185" t="s">
        <v>13</v>
      </c>
      <c r="D68" s="1186"/>
      <c r="E68" s="1186"/>
      <c r="F68" s="1186"/>
      <c r="G68" s="1186"/>
      <c r="H68" s="1186"/>
      <c r="I68" s="1187"/>
      <c r="J68" s="61">
        <f>SUM(J62:J67)</f>
        <v>38.293999999999997</v>
      </c>
      <c r="K68" s="56">
        <f>+J68*1.25</f>
        <v>47.867499999999993</v>
      </c>
      <c r="L68" s="24">
        <f>K68/J68-1</f>
        <v>0.25</v>
      </c>
      <c r="M68" s="121">
        <v>0.75</v>
      </c>
      <c r="N68" s="121">
        <f>J68/M68</f>
        <v>51.05866666666666</v>
      </c>
    </row>
    <row r="69" spans="1:14" ht="35.1" customHeight="1" x14ac:dyDescent="0.25">
      <c r="A69" s="2"/>
      <c r="B69" s="59">
        <v>4</v>
      </c>
      <c r="C69" s="1192" t="s">
        <v>224</v>
      </c>
      <c r="D69" s="50" t="s">
        <v>14</v>
      </c>
      <c r="E69" s="22" t="s">
        <v>53</v>
      </c>
      <c r="F69" s="51" t="s">
        <v>207</v>
      </c>
      <c r="G69" s="45">
        <f>'اسعار الخامات'!E19/33</f>
        <v>16.666666666666668</v>
      </c>
      <c r="H69" s="14">
        <f>1/30</f>
        <v>3.3333333333333333E-2</v>
      </c>
      <c r="I69" s="13">
        <v>0.05</v>
      </c>
      <c r="J69" s="58">
        <f>H69*G69+(I69*H69*G69)</f>
        <v>0.58333333333333337</v>
      </c>
      <c r="K69" s="54"/>
      <c r="L69" s="23"/>
    </row>
    <row r="70" spans="1:14" ht="21" x14ac:dyDescent="0.25">
      <c r="A70" s="2"/>
      <c r="B70" s="59"/>
      <c r="C70" s="1193"/>
      <c r="D70" s="50" t="s">
        <v>11</v>
      </c>
      <c r="E70" s="22" t="s">
        <v>54</v>
      </c>
      <c r="F70" s="51" t="s">
        <v>45</v>
      </c>
      <c r="G70" s="52">
        <f>'اسعار المصنعيات'!D18</f>
        <v>16</v>
      </c>
      <c r="H70" s="51">
        <v>1</v>
      </c>
      <c r="I70" s="51">
        <v>0</v>
      </c>
      <c r="J70" s="58">
        <f>H70*G70</f>
        <v>16</v>
      </c>
      <c r="K70" s="54"/>
      <c r="L70" s="23"/>
    </row>
    <row r="71" spans="1:14" ht="21" x14ac:dyDescent="0.25">
      <c r="B71" s="60"/>
      <c r="C71" s="1185" t="s">
        <v>13</v>
      </c>
      <c r="D71" s="1186"/>
      <c r="E71" s="1186"/>
      <c r="F71" s="1186"/>
      <c r="G71" s="1186"/>
      <c r="H71" s="1186"/>
      <c r="I71" s="1187"/>
      <c r="J71" s="61">
        <f>SUM(J69:J70)</f>
        <v>16.583333333333332</v>
      </c>
      <c r="K71" s="36">
        <f>+J71*1.25</f>
        <v>20.729166666666664</v>
      </c>
      <c r="L71" s="24">
        <f>K71/J71-1</f>
        <v>0.25</v>
      </c>
    </row>
    <row r="72" spans="1:14" ht="36" customHeight="1" x14ac:dyDescent="0.25">
      <c r="B72" s="59">
        <v>5</v>
      </c>
      <c r="C72" s="1249" t="s">
        <v>201</v>
      </c>
      <c r="D72" s="1208" t="s">
        <v>14</v>
      </c>
      <c r="E72" s="22" t="s">
        <v>200</v>
      </c>
      <c r="F72" s="51" t="s">
        <v>207</v>
      </c>
      <c r="G72" s="42">
        <f>'اسعار الخامات'!E23</f>
        <v>44</v>
      </c>
      <c r="H72" s="14">
        <v>7.6923076923076927E-2</v>
      </c>
      <c r="I72" s="13">
        <v>0.03</v>
      </c>
      <c r="J72" s="58">
        <f>H72*G72+(I72*H72*G72)</f>
        <v>3.4861538461538464</v>
      </c>
      <c r="K72" s="54"/>
      <c r="L72" s="23"/>
    </row>
    <row r="73" spans="1:14" ht="36" customHeight="1" x14ac:dyDescent="0.25">
      <c r="B73" s="59"/>
      <c r="C73" s="1250"/>
      <c r="D73" s="1208"/>
      <c r="E73" s="22" t="s">
        <v>15</v>
      </c>
      <c r="F73" s="51" t="s">
        <v>12</v>
      </c>
      <c r="G73" s="42">
        <f>'اسعار الخامات'!E12</f>
        <v>13</v>
      </c>
      <c r="H73" s="51">
        <f>1/25</f>
        <v>0.04</v>
      </c>
      <c r="I73" s="13">
        <v>0.1</v>
      </c>
      <c r="J73" s="58">
        <f>H73*G73+(I73*H73*G73)</f>
        <v>0.57200000000000006</v>
      </c>
      <c r="K73" s="54"/>
      <c r="L73" s="23"/>
    </row>
    <row r="74" spans="1:14" ht="21" x14ac:dyDescent="0.25">
      <c r="B74" s="59"/>
      <c r="C74" s="1251"/>
      <c r="D74" s="50" t="s">
        <v>11</v>
      </c>
      <c r="E74" s="22" t="s">
        <v>64</v>
      </c>
      <c r="F74" s="51" t="s">
        <v>45</v>
      </c>
      <c r="G74" s="52">
        <f>'اسعار المصنعيات'!D19</f>
        <v>7</v>
      </c>
      <c r="H74" s="51">
        <v>1</v>
      </c>
      <c r="I74" s="51">
        <v>0</v>
      </c>
      <c r="J74" s="58">
        <f>H74*G74</f>
        <v>7</v>
      </c>
      <c r="K74" s="54"/>
      <c r="L74" s="23"/>
    </row>
    <row r="75" spans="1:14" ht="21" x14ac:dyDescent="0.25">
      <c r="B75" s="60"/>
      <c r="C75" s="1185" t="s">
        <v>13</v>
      </c>
      <c r="D75" s="1186"/>
      <c r="E75" s="1186"/>
      <c r="F75" s="1186"/>
      <c r="G75" s="1186"/>
      <c r="H75" s="1186"/>
      <c r="I75" s="1187"/>
      <c r="J75" s="61">
        <f>SUM(J72:J74)</f>
        <v>11.058153846153846</v>
      </c>
      <c r="K75" s="36">
        <f>+J75*1.25</f>
        <v>13.822692307692307</v>
      </c>
      <c r="L75" s="24">
        <f>K75/J75-1</f>
        <v>0.25</v>
      </c>
    </row>
    <row r="76" spans="1:14" ht="36" customHeight="1" x14ac:dyDescent="0.25">
      <c r="B76" s="64">
        <v>6</v>
      </c>
      <c r="C76" s="1226" t="s">
        <v>450</v>
      </c>
      <c r="D76" s="1196" t="s">
        <v>14</v>
      </c>
      <c r="E76" s="104" t="s">
        <v>451</v>
      </c>
      <c r="F76" s="99" t="s">
        <v>207</v>
      </c>
      <c r="G76" s="99">
        <f>'اسعار الخامات'!E22</f>
        <v>46.4</v>
      </c>
      <c r="H76" s="107">
        <f>1/13</f>
        <v>7.6923076923076927E-2</v>
      </c>
      <c r="I76" s="88">
        <v>0.03</v>
      </c>
      <c r="J76" s="65">
        <f>H76*G76+(I76*H76*G76)</f>
        <v>3.6763076923076925</v>
      </c>
      <c r="K76" s="54"/>
      <c r="L76" s="23"/>
    </row>
    <row r="77" spans="1:14" ht="36" customHeight="1" x14ac:dyDescent="0.25">
      <c r="B77" s="64"/>
      <c r="C77" s="1227"/>
      <c r="D77" s="1196"/>
      <c r="E77" s="104" t="s">
        <v>15</v>
      </c>
      <c r="F77" s="99" t="s">
        <v>12</v>
      </c>
      <c r="G77" s="99">
        <f>'اسعار الخامات'!E12</f>
        <v>13</v>
      </c>
      <c r="H77" s="99">
        <f>1/25</f>
        <v>0.04</v>
      </c>
      <c r="I77" s="88">
        <v>0.1</v>
      </c>
      <c r="J77" s="65">
        <f>H77*G77+(I77*H77*G77)</f>
        <v>0.57200000000000006</v>
      </c>
      <c r="K77" s="54"/>
      <c r="L77" s="23"/>
    </row>
    <row r="78" spans="1:14" ht="21" x14ac:dyDescent="0.25">
      <c r="B78" s="64"/>
      <c r="C78" s="1228"/>
      <c r="D78" s="104" t="s">
        <v>11</v>
      </c>
      <c r="E78" s="104" t="s">
        <v>64</v>
      </c>
      <c r="F78" s="99" t="s">
        <v>45</v>
      </c>
      <c r="G78" s="99">
        <f>'اسعار المصنعيات'!D19</f>
        <v>7</v>
      </c>
      <c r="H78" s="99">
        <v>1</v>
      </c>
      <c r="I78" s="99">
        <v>0</v>
      </c>
      <c r="J78" s="65">
        <f>H78*G78</f>
        <v>7</v>
      </c>
      <c r="K78" s="54"/>
      <c r="L78" s="23"/>
    </row>
    <row r="79" spans="1:14" ht="21" x14ac:dyDescent="0.25">
      <c r="B79" s="64"/>
      <c r="C79" s="1197" t="s">
        <v>13</v>
      </c>
      <c r="D79" s="1198"/>
      <c r="E79" s="1198"/>
      <c r="F79" s="1198"/>
      <c r="G79" s="1198"/>
      <c r="H79" s="1198"/>
      <c r="I79" s="1199"/>
      <c r="J79" s="65">
        <f>SUM(J76:J78)</f>
        <v>11.248307692307693</v>
      </c>
      <c r="K79" s="36">
        <f>+J79*1.25</f>
        <v>14.060384615384615</v>
      </c>
      <c r="L79" s="24">
        <f>K79/J79-1</f>
        <v>0.25</v>
      </c>
    </row>
    <row r="80" spans="1:14" ht="36" customHeight="1" x14ac:dyDescent="0.25">
      <c r="B80" s="59">
        <v>6</v>
      </c>
      <c r="C80" s="1249" t="s">
        <v>450</v>
      </c>
      <c r="D80" s="1208" t="s">
        <v>14</v>
      </c>
      <c r="E80" s="22" t="s">
        <v>200</v>
      </c>
      <c r="F80" s="101" t="s">
        <v>207</v>
      </c>
      <c r="G80" s="42">
        <f>'اسعار الخامات'!E27</f>
        <v>30</v>
      </c>
      <c r="H80" s="14">
        <f>1/13</f>
        <v>7.6923076923076927E-2</v>
      </c>
      <c r="I80" s="13">
        <v>0.03</v>
      </c>
      <c r="J80" s="105">
        <f>H80*G80+(I80*H80*G80)</f>
        <v>2.3769230769230774</v>
      </c>
      <c r="K80" s="54"/>
      <c r="L80" s="23"/>
    </row>
    <row r="81" spans="1:12" ht="36" customHeight="1" x14ac:dyDescent="0.25">
      <c r="B81" s="59"/>
      <c r="C81" s="1250"/>
      <c r="D81" s="1208"/>
      <c r="E81" s="22" t="s">
        <v>15</v>
      </c>
      <c r="F81" s="101" t="s">
        <v>12</v>
      </c>
      <c r="G81" s="42">
        <f>'اسعار الخامات'!E18</f>
        <v>1000</v>
      </c>
      <c r="H81" s="101">
        <f>1/25</f>
        <v>0.04</v>
      </c>
      <c r="I81" s="13">
        <v>0.1</v>
      </c>
      <c r="J81" s="105">
        <f>H81*G81+(I81*H81*G81)</f>
        <v>44</v>
      </c>
      <c r="K81" s="54"/>
      <c r="L81" s="23"/>
    </row>
    <row r="82" spans="1:12" ht="21" x14ac:dyDescent="0.25">
      <c r="B82" s="59"/>
      <c r="C82" s="1251"/>
      <c r="D82" s="100" t="s">
        <v>11</v>
      </c>
      <c r="E82" s="22" t="s">
        <v>64</v>
      </c>
      <c r="F82" s="101" t="s">
        <v>45</v>
      </c>
      <c r="G82" s="102">
        <f>'اسعار المصنعيات'!D24</f>
        <v>8</v>
      </c>
      <c r="H82" s="101">
        <v>1</v>
      </c>
      <c r="I82" s="101">
        <v>0</v>
      </c>
      <c r="J82" s="105">
        <f>H82*G82</f>
        <v>8</v>
      </c>
      <c r="K82" s="54"/>
      <c r="L82" s="23"/>
    </row>
    <row r="83" spans="1:12" ht="21" x14ac:dyDescent="0.25">
      <c r="B83" s="60"/>
      <c r="C83" s="1185" t="s">
        <v>13</v>
      </c>
      <c r="D83" s="1186"/>
      <c r="E83" s="1186"/>
      <c r="F83" s="1186"/>
      <c r="G83" s="1186"/>
      <c r="H83" s="1186"/>
      <c r="I83" s="1187"/>
      <c r="J83" s="61">
        <f>SUM(J80:J82)</f>
        <v>54.376923076923077</v>
      </c>
      <c r="K83" s="36">
        <f>+J83*1.25</f>
        <v>67.97115384615384</v>
      </c>
      <c r="L83" s="24">
        <f>K83/J83-1</f>
        <v>0.24999999999999978</v>
      </c>
    </row>
    <row r="84" spans="1:12" ht="21" x14ac:dyDescent="0.25">
      <c r="B84" s="59">
        <v>3</v>
      </c>
      <c r="C84" s="1207" t="s">
        <v>317</v>
      </c>
      <c r="D84" s="1208" t="s">
        <v>14</v>
      </c>
      <c r="E84" s="22" t="s">
        <v>56</v>
      </c>
      <c r="F84" s="69" t="s">
        <v>49</v>
      </c>
      <c r="G84" s="44">
        <f>'اسعار الخامات'!E18/1000</f>
        <v>1</v>
      </c>
      <c r="H84" s="69">
        <v>0.75</v>
      </c>
      <c r="I84" s="13">
        <v>0.05</v>
      </c>
      <c r="J84" s="71">
        <f t="shared" ref="J84:J89" si="7">H84*G84+(I84*H84*G84)</f>
        <v>0.78749999999999998</v>
      </c>
      <c r="K84" s="54"/>
      <c r="L84" s="23"/>
    </row>
    <row r="85" spans="1:12" ht="21" x14ac:dyDescent="0.25">
      <c r="B85" s="59"/>
      <c r="C85" s="1188"/>
      <c r="D85" s="1208"/>
      <c r="E85" s="22" t="s">
        <v>318</v>
      </c>
      <c r="F85" s="69" t="s">
        <v>49</v>
      </c>
      <c r="G85" s="44">
        <v>0.16</v>
      </c>
      <c r="H85" s="69">
        <v>1</v>
      </c>
      <c r="I85" s="13">
        <v>0.05</v>
      </c>
      <c r="J85" s="71">
        <f t="shared" si="7"/>
        <v>0.16800000000000001</v>
      </c>
      <c r="K85" s="54"/>
      <c r="L85" s="23"/>
    </row>
    <row r="86" spans="1:12" ht="21" x14ac:dyDescent="0.25">
      <c r="B86" s="59"/>
      <c r="C86" s="1188"/>
      <c r="D86" s="1208"/>
      <c r="E86" s="22" t="s">
        <v>319</v>
      </c>
      <c r="F86" s="69" t="s">
        <v>12</v>
      </c>
      <c r="G86" s="44">
        <v>380</v>
      </c>
      <c r="H86" s="69">
        <v>5.2999999999999998E-4</v>
      </c>
      <c r="I86" s="13">
        <v>0.05</v>
      </c>
      <c r="J86" s="71">
        <f t="shared" si="7"/>
        <v>0.21146999999999999</v>
      </c>
      <c r="K86" s="54"/>
      <c r="L86" s="23"/>
    </row>
    <row r="87" spans="1:12" ht="21" x14ac:dyDescent="0.25">
      <c r="B87" s="59"/>
      <c r="C87" s="1188"/>
      <c r="D87" s="1208"/>
      <c r="E87" s="22" t="s">
        <v>15</v>
      </c>
      <c r="F87" s="69" t="s">
        <v>12</v>
      </c>
      <c r="G87" s="42">
        <f>'اسعار الخامات'!E12</f>
        <v>13</v>
      </c>
      <c r="H87" s="69">
        <f>1/100*1.5</f>
        <v>1.4999999999999999E-2</v>
      </c>
      <c r="I87" s="13">
        <v>0.1</v>
      </c>
      <c r="J87" s="71">
        <f t="shared" si="7"/>
        <v>0.2145</v>
      </c>
      <c r="K87" s="54"/>
      <c r="L87" s="23"/>
    </row>
    <row r="88" spans="1:12" ht="21" x14ac:dyDescent="0.25">
      <c r="B88" s="59"/>
      <c r="C88" s="1188"/>
      <c r="D88" s="1208"/>
      <c r="E88" s="22" t="s">
        <v>21</v>
      </c>
      <c r="F88" s="69" t="s">
        <v>12</v>
      </c>
      <c r="G88" s="42">
        <f>'اسعار الخامات'!E9</f>
        <v>35</v>
      </c>
      <c r="H88" s="69">
        <v>1.1000000000000001E-3</v>
      </c>
      <c r="I88" s="13">
        <v>0.1</v>
      </c>
      <c r="J88" s="71">
        <f t="shared" si="7"/>
        <v>4.2349999999999999E-2</v>
      </c>
      <c r="K88" s="54"/>
      <c r="L88" s="23"/>
    </row>
    <row r="89" spans="1:12" ht="21" x14ac:dyDescent="0.25">
      <c r="B89" s="59"/>
      <c r="C89" s="1188"/>
      <c r="D89" s="68" t="s">
        <v>11</v>
      </c>
      <c r="E89" s="22" t="s">
        <v>198</v>
      </c>
      <c r="F89" s="69" t="s">
        <v>45</v>
      </c>
      <c r="G89" s="70">
        <f>'اسعار المصنعيات'!D20</f>
        <v>0</v>
      </c>
      <c r="H89" s="69">
        <v>1</v>
      </c>
      <c r="I89" s="69">
        <v>0</v>
      </c>
      <c r="J89" s="71">
        <f t="shared" si="7"/>
        <v>0</v>
      </c>
      <c r="K89" s="54"/>
      <c r="L89" s="23"/>
    </row>
    <row r="90" spans="1:12" ht="21" x14ac:dyDescent="0.25">
      <c r="B90" s="60"/>
      <c r="C90" s="1185" t="s">
        <v>13</v>
      </c>
      <c r="D90" s="1186"/>
      <c r="E90" s="1186"/>
      <c r="F90" s="1186"/>
      <c r="G90" s="1186"/>
      <c r="H90" s="1186"/>
      <c r="I90" s="1187"/>
      <c r="J90" s="61">
        <f>SUM(J84:J89)</f>
        <v>1.4238200000000001</v>
      </c>
      <c r="K90" s="56">
        <f>+J90*1.25</f>
        <v>1.7797750000000001</v>
      </c>
      <c r="L90" s="24">
        <f>K90/J90-1</f>
        <v>0.25</v>
      </c>
    </row>
    <row r="91" spans="1:12" s="5" customFormat="1" ht="26.25" customHeight="1" x14ac:dyDescent="0.25">
      <c r="A91" s="27"/>
      <c r="B91" s="1203" t="s">
        <v>211</v>
      </c>
      <c r="C91" s="1198"/>
      <c r="D91" s="1198"/>
      <c r="E91" s="1198"/>
      <c r="F91" s="1198"/>
      <c r="G91" s="1198"/>
      <c r="H91" s="1198"/>
      <c r="I91" s="1198"/>
      <c r="J91" s="1204"/>
      <c r="K91" s="55"/>
      <c r="L91" s="26"/>
    </row>
    <row r="92" spans="1:12" ht="21" x14ac:dyDescent="0.25">
      <c r="B92" s="59">
        <v>1</v>
      </c>
      <c r="C92" s="1207" t="s">
        <v>213</v>
      </c>
      <c r="D92" s="1208" t="s">
        <v>14</v>
      </c>
      <c r="E92" s="22" t="s">
        <v>179</v>
      </c>
      <c r="F92" s="51" t="s">
        <v>49</v>
      </c>
      <c r="G92" s="42"/>
      <c r="H92" s="51">
        <v>1</v>
      </c>
      <c r="I92" s="13">
        <v>0.1</v>
      </c>
      <c r="J92" s="58">
        <f t="shared" ref="J92:J98" si="8">H92*G92+(I92*H92*G92)</f>
        <v>0</v>
      </c>
      <c r="K92" s="54"/>
      <c r="L92" s="23"/>
    </row>
    <row r="93" spans="1:12" ht="21" x14ac:dyDescent="0.25">
      <c r="B93" s="59"/>
      <c r="C93" s="1188"/>
      <c r="D93" s="1208"/>
      <c r="E93" s="22" t="s">
        <v>180</v>
      </c>
      <c r="F93" s="51" t="s">
        <v>49</v>
      </c>
      <c r="G93" s="45">
        <f>'اسعار الخامات'!E25/18</f>
        <v>2</v>
      </c>
      <c r="H93" s="51">
        <v>1.5</v>
      </c>
      <c r="I93" s="13">
        <v>0.05</v>
      </c>
      <c r="J93" s="58">
        <f t="shared" si="8"/>
        <v>3.15</v>
      </c>
      <c r="K93" s="54"/>
      <c r="L93" s="23"/>
    </row>
    <row r="94" spans="1:12" ht="21" x14ac:dyDescent="0.25">
      <c r="B94" s="59"/>
      <c r="C94" s="1188"/>
      <c r="D94" s="1208"/>
      <c r="E94" s="22" t="s">
        <v>181</v>
      </c>
      <c r="F94" s="51" t="s">
        <v>49</v>
      </c>
      <c r="G94" s="45">
        <f>'اسعار الخامات'!E25/18</f>
        <v>2</v>
      </c>
      <c r="H94" s="51">
        <v>1</v>
      </c>
      <c r="I94" s="13">
        <v>0.05</v>
      </c>
      <c r="J94" s="58">
        <f t="shared" si="8"/>
        <v>2.1</v>
      </c>
      <c r="K94" s="54"/>
      <c r="L94" s="23"/>
    </row>
    <row r="95" spans="1:12" ht="21" x14ac:dyDescent="0.25">
      <c r="B95" s="59"/>
      <c r="C95" s="1188"/>
      <c r="D95" s="1208"/>
      <c r="E95" s="22" t="s">
        <v>182</v>
      </c>
      <c r="F95" s="51" t="s">
        <v>58</v>
      </c>
      <c r="G95" s="42">
        <f>'اسعار الخامات'!E24/10</f>
        <v>7</v>
      </c>
      <c r="H95" s="51">
        <f>1/5</f>
        <v>0.2</v>
      </c>
      <c r="I95" s="13">
        <v>0.05</v>
      </c>
      <c r="J95" s="58">
        <f t="shared" si="8"/>
        <v>1.4700000000000002</v>
      </c>
      <c r="K95" s="54"/>
      <c r="L95" s="23"/>
    </row>
    <row r="96" spans="1:12" ht="21" x14ac:dyDescent="0.25">
      <c r="B96" s="59"/>
      <c r="C96" s="1188"/>
      <c r="D96" s="1208"/>
      <c r="E96" s="22" t="s">
        <v>212</v>
      </c>
      <c r="F96" s="51" t="s">
        <v>58</v>
      </c>
      <c r="G96" s="42">
        <f>'اسعار الخامات'!E24/10</f>
        <v>7</v>
      </c>
      <c r="H96" s="14">
        <f>1/7</f>
        <v>0.14285714285714285</v>
      </c>
      <c r="I96" s="13">
        <v>0.05</v>
      </c>
      <c r="J96" s="58">
        <f>H96*G96+(I96*H96*G96)</f>
        <v>1.05</v>
      </c>
      <c r="K96" s="54"/>
      <c r="L96" s="23"/>
    </row>
    <row r="97" spans="1:14" ht="21" x14ac:dyDescent="0.25">
      <c r="B97" s="59"/>
      <c r="C97" s="1188"/>
      <c r="D97" s="1208"/>
      <c r="E97" s="22" t="s">
        <v>183</v>
      </c>
      <c r="F97" s="51" t="s">
        <v>58</v>
      </c>
      <c r="G97" s="42">
        <f>'اسعار الخامات'!E24/10</f>
        <v>7</v>
      </c>
      <c r="H97" s="14">
        <f>1/7</f>
        <v>0.14285714285714285</v>
      </c>
      <c r="I97" s="13">
        <v>0.05</v>
      </c>
      <c r="J97" s="58">
        <f t="shared" si="8"/>
        <v>1.05</v>
      </c>
      <c r="K97" s="54"/>
      <c r="L97" s="23"/>
    </row>
    <row r="98" spans="1:14" ht="21" x14ac:dyDescent="0.25">
      <c r="A98" s="20" t="s">
        <v>206</v>
      </c>
      <c r="B98" s="59"/>
      <c r="C98" s="1188"/>
      <c r="D98" s="1208" t="s">
        <v>11</v>
      </c>
      <c r="E98" s="22" t="s">
        <v>57</v>
      </c>
      <c r="F98" s="1209" t="s">
        <v>45</v>
      </c>
      <c r="G98" s="1210">
        <f>'اسعار المصنعيات'!D24</f>
        <v>8</v>
      </c>
      <c r="H98" s="1209">
        <v>1</v>
      </c>
      <c r="I98" s="1209">
        <v>0</v>
      </c>
      <c r="J98" s="1182">
        <f t="shared" si="8"/>
        <v>8</v>
      </c>
      <c r="K98" s="54"/>
      <c r="L98" s="23"/>
    </row>
    <row r="99" spans="1:14" ht="21" x14ac:dyDescent="0.25">
      <c r="B99" s="59"/>
      <c r="C99" s="1188"/>
      <c r="D99" s="1208"/>
      <c r="E99" s="22" t="s">
        <v>50</v>
      </c>
      <c r="F99" s="1209"/>
      <c r="G99" s="1210"/>
      <c r="H99" s="1209"/>
      <c r="I99" s="1209"/>
      <c r="J99" s="1183"/>
      <c r="K99" s="54"/>
      <c r="L99" s="23"/>
    </row>
    <row r="100" spans="1:14" ht="21" x14ac:dyDescent="0.25">
      <c r="B100" s="59"/>
      <c r="C100" s="1189"/>
      <c r="D100" s="1208"/>
      <c r="E100" s="22" t="s">
        <v>55</v>
      </c>
      <c r="F100" s="1209"/>
      <c r="G100" s="1210"/>
      <c r="H100" s="1209"/>
      <c r="I100" s="1209"/>
      <c r="J100" s="1184"/>
      <c r="K100" s="54"/>
      <c r="L100" s="23"/>
    </row>
    <row r="101" spans="1:14" ht="21" x14ac:dyDescent="0.25">
      <c r="B101" s="62"/>
      <c r="C101" s="1185" t="s">
        <v>13</v>
      </c>
      <c r="D101" s="1186"/>
      <c r="E101" s="1186"/>
      <c r="F101" s="1186"/>
      <c r="G101" s="1186"/>
      <c r="H101" s="1186"/>
      <c r="I101" s="1187"/>
      <c r="J101" s="61">
        <f>SUM(J92:J100)</f>
        <v>16.82</v>
      </c>
      <c r="K101" s="36">
        <v>14</v>
      </c>
      <c r="L101" s="24">
        <f>K101/J101-1</f>
        <v>-0.16765755053507725</v>
      </c>
    </row>
    <row r="102" spans="1:14" ht="21" x14ac:dyDescent="0.25">
      <c r="A102" s="27"/>
      <c r="B102" s="64">
        <v>1</v>
      </c>
      <c r="C102" s="1252" t="s">
        <v>452</v>
      </c>
      <c r="D102" s="1196" t="s">
        <v>14</v>
      </c>
      <c r="E102" s="104" t="s">
        <v>179</v>
      </c>
      <c r="F102" s="99" t="s">
        <v>49</v>
      </c>
      <c r="G102" s="99">
        <v>0.5</v>
      </c>
      <c r="H102" s="99">
        <v>0.2</v>
      </c>
      <c r="I102" s="88">
        <v>0.1</v>
      </c>
      <c r="J102" s="65">
        <f t="shared" ref="J102:J109" si="9">H102*G102+(I102*H102*G102)</f>
        <v>0.11000000000000001</v>
      </c>
      <c r="K102" s="117"/>
      <c r="L102" s="116"/>
      <c r="M102" s="5"/>
      <c r="N102" s="5"/>
    </row>
    <row r="103" spans="1:14" ht="21" x14ac:dyDescent="0.25">
      <c r="A103" s="27"/>
      <c r="B103" s="64"/>
      <c r="C103" s="1194"/>
      <c r="D103" s="1196"/>
      <c r="E103" s="104" t="s">
        <v>180</v>
      </c>
      <c r="F103" s="99" t="s">
        <v>49</v>
      </c>
      <c r="G103" s="149">
        <f>'اسعار الخامات'!E25/18</f>
        <v>2</v>
      </c>
      <c r="H103" s="99">
        <v>1.5</v>
      </c>
      <c r="I103" s="88">
        <v>0.05</v>
      </c>
      <c r="J103" s="65">
        <f t="shared" si="9"/>
        <v>3.15</v>
      </c>
      <c r="K103" s="117"/>
      <c r="L103" s="116"/>
      <c r="M103" s="5"/>
      <c r="N103" s="5"/>
    </row>
    <row r="104" spans="1:14" ht="21" x14ac:dyDescent="0.25">
      <c r="A104" s="27"/>
      <c r="B104" s="64"/>
      <c r="C104" s="1194"/>
      <c r="D104" s="1196"/>
      <c r="E104" s="104" t="s">
        <v>181</v>
      </c>
      <c r="F104" s="99" t="s">
        <v>49</v>
      </c>
      <c r="G104" s="149">
        <f>'اسعار الخامات'!E25/18</f>
        <v>2</v>
      </c>
      <c r="H104" s="99">
        <v>1</v>
      </c>
      <c r="I104" s="88">
        <v>0.05</v>
      </c>
      <c r="J104" s="65">
        <f t="shared" si="9"/>
        <v>2.1</v>
      </c>
      <c r="K104" s="117"/>
      <c r="L104" s="116"/>
      <c r="M104" s="5"/>
      <c r="N104" s="5"/>
    </row>
    <row r="105" spans="1:14" ht="21" x14ac:dyDescent="0.25">
      <c r="A105" s="27"/>
      <c r="B105" s="64"/>
      <c r="C105" s="1194"/>
      <c r="D105" s="1196"/>
      <c r="E105" s="104" t="s">
        <v>453</v>
      </c>
      <c r="F105" s="99" t="s">
        <v>49</v>
      </c>
      <c r="G105" s="149">
        <v>2</v>
      </c>
      <c r="H105" s="99">
        <v>1</v>
      </c>
      <c r="I105" s="88">
        <v>0.05</v>
      </c>
      <c r="J105" s="65">
        <f t="shared" ref="J105" si="10">H105*G105+(I105*H105*G105)</f>
        <v>2.1</v>
      </c>
      <c r="K105" s="117"/>
      <c r="L105" s="116"/>
      <c r="M105" s="5"/>
      <c r="N105" s="5"/>
    </row>
    <row r="106" spans="1:14" ht="21" x14ac:dyDescent="0.25">
      <c r="A106" s="27"/>
      <c r="B106" s="64"/>
      <c r="C106" s="1194"/>
      <c r="D106" s="1196"/>
      <c r="E106" s="104" t="s">
        <v>182</v>
      </c>
      <c r="F106" s="99" t="s">
        <v>49</v>
      </c>
      <c r="G106" s="99">
        <v>7</v>
      </c>
      <c r="H106" s="99">
        <f>1/5</f>
        <v>0.2</v>
      </c>
      <c r="I106" s="88">
        <v>0.05</v>
      </c>
      <c r="J106" s="65">
        <f t="shared" si="9"/>
        <v>1.4700000000000002</v>
      </c>
      <c r="K106" s="117"/>
      <c r="L106" s="116"/>
      <c r="M106" s="5"/>
      <c r="N106" s="5"/>
    </row>
    <row r="107" spans="1:14" ht="21" x14ac:dyDescent="0.25">
      <c r="A107" s="27"/>
      <c r="B107" s="64"/>
      <c r="C107" s="1194"/>
      <c r="D107" s="1196"/>
      <c r="E107" s="104" t="s">
        <v>212</v>
      </c>
      <c r="F107" s="99" t="s">
        <v>49</v>
      </c>
      <c r="G107" s="99">
        <v>7</v>
      </c>
      <c r="H107" s="107">
        <v>0.2</v>
      </c>
      <c r="I107" s="88">
        <v>0.05</v>
      </c>
      <c r="J107" s="65">
        <f t="shared" si="9"/>
        <v>1.4700000000000002</v>
      </c>
      <c r="K107" s="117"/>
      <c r="L107" s="116"/>
      <c r="M107" s="5"/>
      <c r="N107" s="5"/>
    </row>
    <row r="108" spans="1:14" ht="21" x14ac:dyDescent="0.25">
      <c r="A108" s="27"/>
      <c r="B108" s="64"/>
      <c r="C108" s="1194"/>
      <c r="D108" s="1196"/>
      <c r="E108" s="104" t="s">
        <v>183</v>
      </c>
      <c r="F108" s="99" t="s">
        <v>49</v>
      </c>
      <c r="G108" s="99">
        <v>7</v>
      </c>
      <c r="H108" s="107">
        <v>0.2</v>
      </c>
      <c r="I108" s="88">
        <v>0.05</v>
      </c>
      <c r="J108" s="65">
        <f t="shared" si="9"/>
        <v>1.4700000000000002</v>
      </c>
      <c r="K108" s="117"/>
      <c r="L108" s="116"/>
      <c r="M108" s="5"/>
      <c r="N108" s="5"/>
    </row>
    <row r="109" spans="1:14" ht="21" x14ac:dyDescent="0.25">
      <c r="A109" s="27" t="s">
        <v>206</v>
      </c>
      <c r="B109" s="64"/>
      <c r="C109" s="1194"/>
      <c r="D109" s="1196" t="s">
        <v>11</v>
      </c>
      <c r="E109" s="104" t="s">
        <v>57</v>
      </c>
      <c r="F109" s="1200" t="s">
        <v>45</v>
      </c>
      <c r="G109" s="1200">
        <f>'اسعار المصنعيات'!D24</f>
        <v>8</v>
      </c>
      <c r="H109" s="1200">
        <v>1</v>
      </c>
      <c r="I109" s="1200">
        <v>0</v>
      </c>
      <c r="J109" s="1206">
        <f t="shared" si="9"/>
        <v>8</v>
      </c>
      <c r="K109" s="117"/>
      <c r="L109" s="116"/>
      <c r="M109" s="5"/>
      <c r="N109" s="5"/>
    </row>
    <row r="110" spans="1:14" ht="21" x14ac:dyDescent="0.25">
      <c r="A110" s="27"/>
      <c r="B110" s="64"/>
      <c r="C110" s="1194"/>
      <c r="D110" s="1196"/>
      <c r="E110" s="104" t="s">
        <v>50</v>
      </c>
      <c r="F110" s="1200"/>
      <c r="G110" s="1200"/>
      <c r="H110" s="1200"/>
      <c r="I110" s="1200"/>
      <c r="J110" s="1248"/>
      <c r="K110" s="117"/>
      <c r="L110" s="116"/>
      <c r="M110" s="5"/>
      <c r="N110" s="5"/>
    </row>
    <row r="111" spans="1:14" ht="21" x14ac:dyDescent="0.25">
      <c r="A111" s="27"/>
      <c r="B111" s="64"/>
      <c r="C111" s="1195"/>
      <c r="D111" s="1196"/>
      <c r="E111" s="104" t="s">
        <v>55</v>
      </c>
      <c r="F111" s="1200"/>
      <c r="G111" s="1200"/>
      <c r="H111" s="1200"/>
      <c r="I111" s="1200"/>
      <c r="J111" s="1238"/>
      <c r="K111" s="117"/>
      <c r="L111" s="116"/>
      <c r="M111" s="5"/>
      <c r="N111" s="5"/>
    </row>
    <row r="112" spans="1:14" ht="21" x14ac:dyDescent="0.25">
      <c r="A112" s="27"/>
      <c r="B112" s="64"/>
      <c r="C112" s="1197" t="s">
        <v>13</v>
      </c>
      <c r="D112" s="1198"/>
      <c r="E112" s="1198"/>
      <c r="F112" s="1198"/>
      <c r="G112" s="1198"/>
      <c r="H112" s="1198"/>
      <c r="I112" s="1199"/>
      <c r="J112" s="65">
        <f>SUM(J102:J111)</f>
        <v>19.87</v>
      </c>
      <c r="K112" s="55">
        <v>14</v>
      </c>
      <c r="L112" s="120">
        <f>K112/J112-1</f>
        <v>-0.29542023150478114</v>
      </c>
      <c r="M112" s="121">
        <v>0.75</v>
      </c>
      <c r="N112" s="121">
        <f>J112/M112</f>
        <v>26.493333333333336</v>
      </c>
    </row>
    <row r="113" spans="1:14" ht="21" x14ac:dyDescent="0.25">
      <c r="B113" s="59">
        <v>1</v>
      </c>
      <c r="C113" s="1207" t="s">
        <v>358</v>
      </c>
      <c r="D113" s="1208" t="s">
        <v>14</v>
      </c>
      <c r="E113" s="22" t="s">
        <v>179</v>
      </c>
      <c r="F113" s="73" t="s">
        <v>49</v>
      </c>
      <c r="G113" s="42"/>
      <c r="H113" s="73">
        <v>1</v>
      </c>
      <c r="I113" s="13">
        <v>0.1</v>
      </c>
      <c r="J113" s="74">
        <f t="shared" ref="J113:J116" si="11">H113*G113+(I113*H113*G113)</f>
        <v>0</v>
      </c>
      <c r="K113" s="54"/>
      <c r="L113" s="23"/>
    </row>
    <row r="114" spans="1:14" ht="21" x14ac:dyDescent="0.25">
      <c r="B114" s="59"/>
      <c r="C114" s="1188"/>
      <c r="D114" s="1208"/>
      <c r="E114" s="22" t="s">
        <v>180</v>
      </c>
      <c r="F114" s="73" t="s">
        <v>49</v>
      </c>
      <c r="G114" s="45"/>
      <c r="H114" s="73">
        <v>1.5</v>
      </c>
      <c r="I114" s="13">
        <v>0.05</v>
      </c>
      <c r="J114" s="74">
        <f t="shared" si="11"/>
        <v>0</v>
      </c>
      <c r="K114" s="54"/>
      <c r="L114" s="23"/>
    </row>
    <row r="115" spans="1:14" ht="21" x14ac:dyDescent="0.25">
      <c r="B115" s="59"/>
      <c r="C115" s="1188"/>
      <c r="D115" s="1208"/>
      <c r="E115" s="22" t="s">
        <v>181</v>
      </c>
      <c r="F115" s="73" t="s">
        <v>49</v>
      </c>
      <c r="G115" s="45"/>
      <c r="H115" s="73">
        <v>1</v>
      </c>
      <c r="I115" s="13">
        <v>0.05</v>
      </c>
      <c r="J115" s="74">
        <f t="shared" si="11"/>
        <v>0</v>
      </c>
      <c r="K115" s="54"/>
      <c r="L115" s="23"/>
    </row>
    <row r="116" spans="1:14" ht="21" x14ac:dyDescent="0.25">
      <c r="B116" s="59"/>
      <c r="C116" s="1188"/>
      <c r="D116" s="1208"/>
      <c r="E116" s="22" t="s">
        <v>182</v>
      </c>
      <c r="F116" s="73" t="s">
        <v>58</v>
      </c>
      <c r="G116" s="42"/>
      <c r="H116" s="73">
        <f>1/5</f>
        <v>0.2</v>
      </c>
      <c r="I116" s="13">
        <v>0.05</v>
      </c>
      <c r="J116" s="74">
        <f t="shared" si="11"/>
        <v>0</v>
      </c>
      <c r="K116" s="54"/>
      <c r="L116" s="23"/>
    </row>
    <row r="117" spans="1:14" ht="21" x14ac:dyDescent="0.25">
      <c r="B117" s="59"/>
      <c r="C117" s="1188"/>
      <c r="D117" s="1208"/>
      <c r="E117" s="22" t="s">
        <v>212</v>
      </c>
      <c r="F117" s="73" t="s">
        <v>58</v>
      </c>
      <c r="G117" s="42"/>
      <c r="H117" s="14">
        <f>1/7</f>
        <v>0.14285714285714285</v>
      </c>
      <c r="I117" s="13">
        <v>0.05</v>
      </c>
      <c r="J117" s="74">
        <f>H117*G117+(I117*H117*G117)</f>
        <v>0</v>
      </c>
      <c r="K117" s="54"/>
      <c r="L117" s="23"/>
    </row>
    <row r="118" spans="1:14" ht="21" x14ac:dyDescent="0.25">
      <c r="B118" s="59"/>
      <c r="C118" s="1188"/>
      <c r="D118" s="1208"/>
      <c r="E118" s="22" t="s">
        <v>183</v>
      </c>
      <c r="F118" s="73" t="s">
        <v>58</v>
      </c>
      <c r="G118" s="42"/>
      <c r="H118" s="14">
        <f>1/7</f>
        <v>0.14285714285714285</v>
      </c>
      <c r="I118" s="13">
        <v>0.05</v>
      </c>
      <c r="J118" s="74">
        <f t="shared" ref="J118:J119" si="12">H118*G118+(I118*H118*G118)</f>
        <v>0</v>
      </c>
      <c r="K118" s="54"/>
      <c r="L118" s="23"/>
    </row>
    <row r="119" spans="1:14" ht="21" x14ac:dyDescent="0.25">
      <c r="A119" s="20" t="s">
        <v>206</v>
      </c>
      <c r="B119" s="59"/>
      <c r="C119" s="1188"/>
      <c r="D119" s="1208" t="s">
        <v>11</v>
      </c>
      <c r="E119" s="22" t="s">
        <v>57</v>
      </c>
      <c r="F119" s="1209" t="s">
        <v>45</v>
      </c>
      <c r="G119" s="1210">
        <f>'اسعار المصنعيات'!D23</f>
        <v>7</v>
      </c>
      <c r="H119" s="1209">
        <v>1</v>
      </c>
      <c r="I119" s="1209">
        <v>0</v>
      </c>
      <c r="J119" s="1182">
        <f t="shared" si="12"/>
        <v>7</v>
      </c>
      <c r="K119" s="54"/>
      <c r="L119" s="23"/>
    </row>
    <row r="120" spans="1:14" ht="21" x14ac:dyDescent="0.25">
      <c r="B120" s="59"/>
      <c r="C120" s="1188"/>
      <c r="D120" s="1208"/>
      <c r="E120" s="22" t="s">
        <v>50</v>
      </c>
      <c r="F120" s="1209"/>
      <c r="G120" s="1210"/>
      <c r="H120" s="1209"/>
      <c r="I120" s="1209"/>
      <c r="J120" s="1183"/>
      <c r="K120" s="54"/>
      <c r="L120" s="23"/>
    </row>
    <row r="121" spans="1:14" ht="21" x14ac:dyDescent="0.25">
      <c r="B121" s="59"/>
      <c r="C121" s="1189"/>
      <c r="D121" s="1208"/>
      <c r="E121" s="22" t="s">
        <v>55</v>
      </c>
      <c r="F121" s="1209"/>
      <c r="G121" s="1210"/>
      <c r="H121" s="1209"/>
      <c r="I121" s="1209"/>
      <c r="J121" s="1184"/>
      <c r="K121" s="54"/>
      <c r="L121" s="23"/>
    </row>
    <row r="122" spans="1:14" ht="21" x14ac:dyDescent="0.25">
      <c r="B122" s="62"/>
      <c r="C122" s="1185" t="s">
        <v>13</v>
      </c>
      <c r="D122" s="1186"/>
      <c r="E122" s="1186"/>
      <c r="F122" s="1186"/>
      <c r="G122" s="1186"/>
      <c r="H122" s="1186"/>
      <c r="I122" s="1187"/>
      <c r="J122" s="61">
        <f>SUM(J113:J121)</f>
        <v>7</v>
      </c>
      <c r="K122" s="36">
        <v>14</v>
      </c>
      <c r="L122" s="24">
        <f>K122/J122-1</f>
        <v>1</v>
      </c>
    </row>
    <row r="123" spans="1:14" s="5" customFormat="1" ht="26.25" customHeight="1" x14ac:dyDescent="0.25">
      <c r="A123" s="27"/>
      <c r="B123" s="1203" t="s">
        <v>214</v>
      </c>
      <c r="C123" s="1198"/>
      <c r="D123" s="1198"/>
      <c r="E123" s="1198"/>
      <c r="F123" s="1198"/>
      <c r="G123" s="1198"/>
      <c r="H123" s="1198"/>
      <c r="I123" s="1198"/>
      <c r="J123" s="1204"/>
      <c r="K123" s="55"/>
      <c r="L123" s="26"/>
    </row>
    <row r="124" spans="1:14" ht="20.25" customHeight="1" x14ac:dyDescent="0.25">
      <c r="B124" s="64">
        <v>1</v>
      </c>
      <c r="C124" s="1252" t="s">
        <v>447</v>
      </c>
      <c r="D124" s="1196" t="s">
        <v>14</v>
      </c>
      <c r="E124" s="104" t="s">
        <v>61</v>
      </c>
      <c r="F124" s="99" t="s">
        <v>45</v>
      </c>
      <c r="G124" s="99">
        <f>'اسعار الخامات'!E27</f>
        <v>30</v>
      </c>
      <c r="H124" s="99">
        <v>1</v>
      </c>
      <c r="I124" s="88">
        <v>0.1</v>
      </c>
      <c r="J124" s="65">
        <f t="shared" ref="J124:J127" si="13">H124*G124+(I124*H124*G124)</f>
        <v>33</v>
      </c>
      <c r="K124" s="117"/>
      <c r="L124" s="116"/>
      <c r="M124" s="5"/>
      <c r="N124" s="5"/>
    </row>
    <row r="125" spans="1:14" ht="21" x14ac:dyDescent="0.25">
      <c r="B125" s="64"/>
      <c r="C125" s="1194"/>
      <c r="D125" s="1196"/>
      <c r="E125" s="104" t="s">
        <v>449</v>
      </c>
      <c r="F125" s="99" t="s">
        <v>49</v>
      </c>
      <c r="G125" s="106">
        <v>1.6</v>
      </c>
      <c r="H125" s="96">
        <v>1</v>
      </c>
      <c r="I125" s="88">
        <v>0.05</v>
      </c>
      <c r="J125" s="65">
        <f t="shared" si="13"/>
        <v>1.6800000000000002</v>
      </c>
      <c r="K125" s="117"/>
      <c r="L125" s="116"/>
      <c r="M125" s="5"/>
      <c r="N125" s="5"/>
    </row>
    <row r="126" spans="1:14" ht="21" x14ac:dyDescent="0.25">
      <c r="B126" s="64"/>
      <c r="C126" s="1194"/>
      <c r="D126" s="1196"/>
      <c r="E126" s="104" t="s">
        <v>56</v>
      </c>
      <c r="F126" s="99" t="s">
        <v>207</v>
      </c>
      <c r="G126" s="106">
        <f>'اسعار الخامات'!E18/20</f>
        <v>50</v>
      </c>
      <c r="H126" s="107">
        <f>1/40</f>
        <v>2.5000000000000001E-2</v>
      </c>
      <c r="I126" s="88">
        <v>0.05</v>
      </c>
      <c r="J126" s="65">
        <f t="shared" si="13"/>
        <v>1.3125</v>
      </c>
      <c r="K126" s="117"/>
      <c r="L126" s="116"/>
      <c r="M126" s="5"/>
      <c r="N126" s="5"/>
    </row>
    <row r="127" spans="1:14" ht="21" x14ac:dyDescent="0.25">
      <c r="B127" s="64"/>
      <c r="C127" s="1194"/>
      <c r="D127" s="1234" t="s">
        <v>11</v>
      </c>
      <c r="E127" s="104" t="s">
        <v>60</v>
      </c>
      <c r="F127" s="1200" t="s">
        <v>45</v>
      </c>
      <c r="G127" s="1200">
        <v>24</v>
      </c>
      <c r="H127" s="1200">
        <v>1</v>
      </c>
      <c r="I127" s="1200">
        <v>0</v>
      </c>
      <c r="J127" s="1206">
        <f t="shared" si="13"/>
        <v>24</v>
      </c>
      <c r="K127" s="117"/>
      <c r="L127" s="116"/>
      <c r="M127" s="5"/>
      <c r="N127" s="5"/>
    </row>
    <row r="128" spans="1:14" ht="21" x14ac:dyDescent="0.25">
      <c r="B128" s="64"/>
      <c r="C128" s="1194"/>
      <c r="D128" s="1235"/>
      <c r="E128" s="104" t="s">
        <v>50</v>
      </c>
      <c r="F128" s="1200"/>
      <c r="G128" s="1200"/>
      <c r="H128" s="1200"/>
      <c r="I128" s="1200"/>
      <c r="J128" s="1248"/>
      <c r="K128" s="117"/>
      <c r="L128" s="116"/>
      <c r="M128" s="5"/>
      <c r="N128" s="5"/>
    </row>
    <row r="129" spans="2:14" ht="21" x14ac:dyDescent="0.25">
      <c r="B129" s="64"/>
      <c r="C129" s="1194"/>
      <c r="D129" s="1236"/>
      <c r="E129" s="104" t="s">
        <v>55</v>
      </c>
      <c r="F129" s="1200"/>
      <c r="G129" s="1200"/>
      <c r="H129" s="1200"/>
      <c r="I129" s="1200"/>
      <c r="J129" s="1238"/>
      <c r="K129" s="117"/>
      <c r="L129" s="116"/>
      <c r="M129" s="5"/>
      <c r="N129" s="5"/>
    </row>
    <row r="130" spans="2:14" ht="21" x14ac:dyDescent="0.25">
      <c r="B130" s="64"/>
      <c r="C130" s="1195"/>
      <c r="D130" s="104" t="s">
        <v>16</v>
      </c>
      <c r="E130" s="104" t="s">
        <v>299</v>
      </c>
      <c r="F130" s="99" t="s">
        <v>45</v>
      </c>
      <c r="G130" s="99">
        <v>0.3</v>
      </c>
      <c r="H130" s="99">
        <v>1</v>
      </c>
      <c r="I130" s="99">
        <v>0</v>
      </c>
      <c r="J130" s="65">
        <f>H130*G130+(I130*H130*G130)</f>
        <v>0.3</v>
      </c>
      <c r="K130" s="117"/>
      <c r="L130" s="116"/>
      <c r="M130" s="5"/>
      <c r="N130" s="5"/>
    </row>
    <row r="131" spans="2:14" ht="21" x14ac:dyDescent="0.25">
      <c r="B131" s="64"/>
      <c r="C131" s="1197" t="s">
        <v>13</v>
      </c>
      <c r="D131" s="1198"/>
      <c r="E131" s="1198"/>
      <c r="F131" s="1198"/>
      <c r="G131" s="1198"/>
      <c r="H131" s="1198"/>
      <c r="I131" s="1199"/>
      <c r="J131" s="65">
        <f>SUM(J124:J130)</f>
        <v>60.292499999999997</v>
      </c>
      <c r="K131" s="55">
        <f>+J131*1.25</f>
        <v>75.365624999999994</v>
      </c>
      <c r="L131" s="120">
        <f>K131/J131-1</f>
        <v>0.25</v>
      </c>
      <c r="M131" s="121">
        <v>0.75</v>
      </c>
      <c r="N131" s="121">
        <f>J131/M131</f>
        <v>80.39</v>
      </c>
    </row>
    <row r="132" spans="2:14" ht="21" hidden="1" x14ac:dyDescent="0.25">
      <c r="B132" s="64">
        <v>3</v>
      </c>
      <c r="C132" s="1194" t="s">
        <v>216</v>
      </c>
      <c r="D132" s="1196" t="s">
        <v>14</v>
      </c>
      <c r="E132" s="104" t="s">
        <v>61</v>
      </c>
      <c r="F132" s="99" t="s">
        <v>45</v>
      </c>
      <c r="G132" s="99">
        <f>'اسعار الخامات'!E28</f>
        <v>30</v>
      </c>
      <c r="H132" s="99">
        <v>1</v>
      </c>
      <c r="I132" s="88">
        <v>0.05</v>
      </c>
      <c r="J132" s="65">
        <f t="shared" ref="J132:J137" si="14">H132*G132+(I132*H132*G132)</f>
        <v>31.5</v>
      </c>
      <c r="K132" s="117"/>
      <c r="L132" s="116"/>
      <c r="M132" s="5"/>
      <c r="N132" s="5"/>
    </row>
    <row r="133" spans="2:14" ht="21" hidden="1" x14ac:dyDescent="0.25">
      <c r="B133" s="64"/>
      <c r="C133" s="1194"/>
      <c r="D133" s="1196"/>
      <c r="E133" s="104" t="s">
        <v>18</v>
      </c>
      <c r="F133" s="99" t="s">
        <v>19</v>
      </c>
      <c r="G133" s="106">
        <f>'اسعار الخامات'!E7</f>
        <v>650</v>
      </c>
      <c r="H133" s="96">
        <f>0.3/33+(0.45/180)</f>
        <v>1.1590909090909091E-2</v>
      </c>
      <c r="I133" s="88">
        <v>0.05</v>
      </c>
      <c r="J133" s="65">
        <f t="shared" si="14"/>
        <v>7.9107954545454549</v>
      </c>
      <c r="K133" s="117"/>
      <c r="L133" s="116"/>
      <c r="M133" s="5"/>
      <c r="N133" s="5"/>
    </row>
    <row r="134" spans="2:14" ht="21" hidden="1" x14ac:dyDescent="0.25">
      <c r="B134" s="64"/>
      <c r="C134" s="1194"/>
      <c r="D134" s="1196"/>
      <c r="E134" s="104" t="s">
        <v>21</v>
      </c>
      <c r="F134" s="99" t="s">
        <v>12</v>
      </c>
      <c r="G134" s="99">
        <f>'اسعار الخامات'!E9</f>
        <v>35</v>
      </c>
      <c r="H134" s="107">
        <f>1/33+(1/200)</f>
        <v>3.5303030303030301E-2</v>
      </c>
      <c r="I134" s="88">
        <v>0.1</v>
      </c>
      <c r="J134" s="65">
        <f t="shared" si="14"/>
        <v>1.3591666666666666</v>
      </c>
      <c r="K134" s="117"/>
      <c r="L134" s="116"/>
      <c r="M134" s="5"/>
      <c r="N134" s="5"/>
    </row>
    <row r="135" spans="2:14" ht="21" hidden="1" x14ac:dyDescent="0.25">
      <c r="B135" s="64"/>
      <c r="C135" s="1194"/>
      <c r="D135" s="1196"/>
      <c r="E135" s="104" t="s">
        <v>15</v>
      </c>
      <c r="F135" s="99" t="s">
        <v>12</v>
      </c>
      <c r="G135" s="99">
        <f>'اسعار الخامات'!E12</f>
        <v>13</v>
      </c>
      <c r="H135" s="107">
        <f>1.75/33</f>
        <v>5.3030303030303032E-2</v>
      </c>
      <c r="I135" s="88">
        <v>0.1</v>
      </c>
      <c r="J135" s="65">
        <f t="shared" si="14"/>
        <v>0.75833333333333341</v>
      </c>
      <c r="K135" s="117"/>
      <c r="L135" s="116"/>
      <c r="M135" s="5"/>
      <c r="N135" s="5"/>
    </row>
    <row r="136" spans="2:14" ht="21" hidden="1" x14ac:dyDescent="0.25">
      <c r="B136" s="64"/>
      <c r="C136" s="1194"/>
      <c r="D136" s="1196"/>
      <c r="E136" s="104" t="s">
        <v>56</v>
      </c>
      <c r="F136" s="99" t="s">
        <v>207</v>
      </c>
      <c r="G136" s="106">
        <f>'اسعار الخامات'!E18/20</f>
        <v>50</v>
      </c>
      <c r="H136" s="107">
        <f>1/40</f>
        <v>2.5000000000000001E-2</v>
      </c>
      <c r="I136" s="88">
        <v>0.05</v>
      </c>
      <c r="J136" s="65">
        <f t="shared" si="14"/>
        <v>1.3125</v>
      </c>
      <c r="K136" s="117"/>
      <c r="L136" s="116"/>
      <c r="M136" s="5"/>
      <c r="N136" s="5"/>
    </row>
    <row r="137" spans="2:14" ht="21" hidden="1" x14ac:dyDescent="0.25">
      <c r="B137" s="64"/>
      <c r="C137" s="1194"/>
      <c r="D137" s="1196" t="s">
        <v>11</v>
      </c>
      <c r="E137" s="104" t="s">
        <v>60</v>
      </c>
      <c r="F137" s="1200" t="s">
        <v>45</v>
      </c>
      <c r="G137" s="1200">
        <f>'اسعار المصنعيات'!D28</f>
        <v>22</v>
      </c>
      <c r="H137" s="1200">
        <v>1</v>
      </c>
      <c r="I137" s="1200">
        <v>0</v>
      </c>
      <c r="J137" s="1206">
        <f t="shared" si="14"/>
        <v>22</v>
      </c>
      <c r="K137" s="117"/>
      <c r="L137" s="116"/>
      <c r="M137" s="5"/>
      <c r="N137" s="5"/>
    </row>
    <row r="138" spans="2:14" ht="21" hidden="1" x14ac:dyDescent="0.25">
      <c r="B138" s="64"/>
      <c r="C138" s="1194"/>
      <c r="D138" s="1196"/>
      <c r="E138" s="104" t="s">
        <v>50</v>
      </c>
      <c r="F138" s="1200"/>
      <c r="G138" s="1200"/>
      <c r="H138" s="1200"/>
      <c r="I138" s="1200"/>
      <c r="J138" s="1248"/>
      <c r="K138" s="117"/>
      <c r="L138" s="116"/>
      <c r="M138" s="5"/>
      <c r="N138" s="5"/>
    </row>
    <row r="139" spans="2:14" ht="21" hidden="1" x14ac:dyDescent="0.25">
      <c r="B139" s="64"/>
      <c r="C139" s="1195"/>
      <c r="D139" s="104"/>
      <c r="E139" s="104" t="s">
        <v>55</v>
      </c>
      <c r="F139" s="1200"/>
      <c r="G139" s="1200"/>
      <c r="H139" s="1200"/>
      <c r="I139" s="1200"/>
      <c r="J139" s="1238"/>
      <c r="K139" s="117"/>
      <c r="L139" s="116"/>
      <c r="M139" s="5"/>
      <c r="N139" s="5"/>
    </row>
    <row r="140" spans="2:14" ht="21" hidden="1" x14ac:dyDescent="0.25">
      <c r="B140" s="138"/>
      <c r="C140" s="140"/>
      <c r="D140" s="104"/>
      <c r="E140" s="104" t="s">
        <v>434</v>
      </c>
      <c r="F140" s="99" t="s">
        <v>45</v>
      </c>
      <c r="G140" s="99">
        <f>'اسعار المصنعيات'!D16*0.2</f>
        <v>4</v>
      </c>
      <c r="H140" s="99">
        <v>1</v>
      </c>
      <c r="I140" s="99">
        <v>0</v>
      </c>
      <c r="J140" s="139">
        <f t="shared" ref="J140" si="15">H140*G140+(I140*H140*G140)</f>
        <v>4</v>
      </c>
      <c r="K140" s="104"/>
      <c r="L140" s="116"/>
      <c r="M140" s="5"/>
      <c r="N140" s="5"/>
    </row>
    <row r="141" spans="2:14" ht="21" hidden="1" x14ac:dyDescent="0.25">
      <c r="B141" s="64"/>
      <c r="C141" s="140"/>
      <c r="D141" s="104" t="s">
        <v>16</v>
      </c>
      <c r="E141" s="104" t="s">
        <v>299</v>
      </c>
      <c r="F141" s="99" t="s">
        <v>45</v>
      </c>
      <c r="G141" s="99">
        <v>0.3</v>
      </c>
      <c r="H141" s="99">
        <v>1</v>
      </c>
      <c r="I141" s="99">
        <v>0</v>
      </c>
      <c r="J141" s="65">
        <f>H141*G141+(I141*H141*G141)</f>
        <v>0.3</v>
      </c>
      <c r="K141" s="117"/>
      <c r="L141" s="116"/>
      <c r="M141" s="5"/>
      <c r="N141" s="5"/>
    </row>
    <row r="142" spans="2:14" ht="21" hidden="1" x14ac:dyDescent="0.25">
      <c r="B142" s="64"/>
      <c r="C142" s="1197" t="s">
        <v>13</v>
      </c>
      <c r="D142" s="1198"/>
      <c r="E142" s="1198"/>
      <c r="F142" s="1198"/>
      <c r="G142" s="1198"/>
      <c r="H142" s="1198"/>
      <c r="I142" s="1199"/>
      <c r="J142" s="65">
        <f>SUM(J132:J141)</f>
        <v>69.140795454545454</v>
      </c>
      <c r="K142" s="55">
        <f>+J142*1.25</f>
        <v>86.425994318181822</v>
      </c>
      <c r="L142" s="26">
        <f>K142/J142-1</f>
        <v>0.25</v>
      </c>
      <c r="M142" s="5"/>
      <c r="N142" s="5"/>
    </row>
    <row r="143" spans="2:14" ht="21" hidden="1" x14ac:dyDescent="0.25">
      <c r="B143" s="64">
        <v>4</v>
      </c>
      <c r="C143" s="1194" t="s">
        <v>217</v>
      </c>
      <c r="D143" s="1196" t="s">
        <v>14</v>
      </c>
      <c r="E143" s="104" t="s">
        <v>61</v>
      </c>
      <c r="F143" s="99" t="s">
        <v>45</v>
      </c>
      <c r="G143" s="99">
        <f>'اسعار الخامات'!E29</f>
        <v>30</v>
      </c>
      <c r="H143" s="99">
        <v>1</v>
      </c>
      <c r="I143" s="88">
        <v>0.05</v>
      </c>
      <c r="J143" s="65">
        <f t="shared" ref="J143:J148" si="16">H143*G143+(I143*H143*G143)</f>
        <v>31.5</v>
      </c>
      <c r="K143" s="117"/>
      <c r="L143" s="116"/>
      <c r="M143" s="5"/>
      <c r="N143" s="5"/>
    </row>
    <row r="144" spans="2:14" ht="21" hidden="1" x14ac:dyDescent="0.25">
      <c r="B144" s="64"/>
      <c r="C144" s="1194"/>
      <c r="D144" s="1196"/>
      <c r="E144" s="104" t="s">
        <v>18</v>
      </c>
      <c r="F144" s="99" t="s">
        <v>19</v>
      </c>
      <c r="G144" s="106">
        <f>'اسعار الخامات'!E7</f>
        <v>650</v>
      </c>
      <c r="H144" s="96">
        <f>0.3/33+(0.45/180)</f>
        <v>1.1590909090909091E-2</v>
      </c>
      <c r="I144" s="88">
        <v>0.05</v>
      </c>
      <c r="J144" s="65">
        <f t="shared" si="16"/>
        <v>7.9107954545454549</v>
      </c>
      <c r="K144" s="117"/>
      <c r="L144" s="116"/>
      <c r="M144" s="5"/>
      <c r="N144" s="5"/>
    </row>
    <row r="145" spans="2:14" ht="21" hidden="1" x14ac:dyDescent="0.25">
      <c r="B145" s="64"/>
      <c r="C145" s="1194"/>
      <c r="D145" s="1196"/>
      <c r="E145" s="104" t="s">
        <v>21</v>
      </c>
      <c r="F145" s="99" t="s">
        <v>12</v>
      </c>
      <c r="G145" s="99">
        <f>'اسعار الخامات'!E9</f>
        <v>35</v>
      </c>
      <c r="H145" s="107">
        <f>1/33+(1/200)</f>
        <v>3.5303030303030301E-2</v>
      </c>
      <c r="I145" s="88">
        <v>0.1</v>
      </c>
      <c r="J145" s="65">
        <f t="shared" si="16"/>
        <v>1.3591666666666666</v>
      </c>
      <c r="K145" s="117"/>
      <c r="L145" s="116"/>
      <c r="M145" s="5"/>
      <c r="N145" s="5"/>
    </row>
    <row r="146" spans="2:14" ht="21" hidden="1" x14ac:dyDescent="0.25">
      <c r="B146" s="64"/>
      <c r="C146" s="1194"/>
      <c r="D146" s="1196"/>
      <c r="E146" s="104" t="s">
        <v>15</v>
      </c>
      <c r="F146" s="99" t="s">
        <v>12</v>
      </c>
      <c r="G146" s="99">
        <f>'اسعار الخامات'!E12</f>
        <v>13</v>
      </c>
      <c r="H146" s="107">
        <f>1.75/33</f>
        <v>5.3030303030303032E-2</v>
      </c>
      <c r="I146" s="88">
        <v>0.1</v>
      </c>
      <c r="J146" s="65">
        <f t="shared" si="16"/>
        <v>0.75833333333333341</v>
      </c>
      <c r="K146" s="117"/>
      <c r="L146" s="116"/>
      <c r="M146" s="5"/>
      <c r="N146" s="5"/>
    </row>
    <row r="147" spans="2:14" ht="21" hidden="1" x14ac:dyDescent="0.25">
      <c r="B147" s="64"/>
      <c r="C147" s="1194"/>
      <c r="D147" s="1196"/>
      <c r="E147" s="104" t="s">
        <v>56</v>
      </c>
      <c r="F147" s="99" t="s">
        <v>207</v>
      </c>
      <c r="G147" s="106">
        <f>'اسعار الخامات'!E18/20</f>
        <v>50</v>
      </c>
      <c r="H147" s="107">
        <f>1/40</f>
        <v>2.5000000000000001E-2</v>
      </c>
      <c r="I147" s="88">
        <v>0.05</v>
      </c>
      <c r="J147" s="65">
        <f t="shared" si="16"/>
        <v>1.3125</v>
      </c>
      <c r="K147" s="117"/>
      <c r="L147" s="116"/>
      <c r="M147" s="5"/>
      <c r="N147" s="5"/>
    </row>
    <row r="148" spans="2:14" ht="21" hidden="1" x14ac:dyDescent="0.25">
      <c r="B148" s="64"/>
      <c r="C148" s="1194"/>
      <c r="D148" s="1196" t="s">
        <v>11</v>
      </c>
      <c r="E148" s="104" t="s">
        <v>60</v>
      </c>
      <c r="F148" s="1200" t="s">
        <v>45</v>
      </c>
      <c r="G148" s="1200">
        <f>'اسعار المصنعيات'!D28</f>
        <v>22</v>
      </c>
      <c r="H148" s="1200">
        <v>1</v>
      </c>
      <c r="I148" s="1200">
        <v>0</v>
      </c>
      <c r="J148" s="1206">
        <f t="shared" si="16"/>
        <v>22</v>
      </c>
      <c r="K148" s="117"/>
      <c r="L148" s="116"/>
      <c r="M148" s="5"/>
      <c r="N148" s="5"/>
    </row>
    <row r="149" spans="2:14" ht="21" hidden="1" x14ac:dyDescent="0.25">
      <c r="B149" s="64"/>
      <c r="C149" s="1194"/>
      <c r="D149" s="1196"/>
      <c r="E149" s="104" t="s">
        <v>50</v>
      </c>
      <c r="F149" s="1200"/>
      <c r="G149" s="1200"/>
      <c r="H149" s="1200"/>
      <c r="I149" s="1200"/>
      <c r="J149" s="1248"/>
      <c r="K149" s="117"/>
      <c r="L149" s="116"/>
      <c r="M149" s="5"/>
      <c r="N149" s="5"/>
    </row>
    <row r="150" spans="2:14" ht="21" hidden="1" x14ac:dyDescent="0.25">
      <c r="B150" s="64"/>
      <c r="C150" s="1195"/>
      <c r="D150" s="104"/>
      <c r="E150" s="104" t="s">
        <v>55</v>
      </c>
      <c r="F150" s="1200"/>
      <c r="G150" s="1200"/>
      <c r="H150" s="1200"/>
      <c r="I150" s="1200"/>
      <c r="J150" s="1238"/>
      <c r="K150" s="117"/>
      <c r="L150" s="116"/>
      <c r="M150" s="5"/>
      <c r="N150" s="5"/>
    </row>
    <row r="151" spans="2:14" ht="21" hidden="1" x14ac:dyDescent="0.25">
      <c r="B151" s="138"/>
      <c r="C151" s="140"/>
      <c r="D151" s="104"/>
      <c r="E151" s="104" t="s">
        <v>434</v>
      </c>
      <c r="F151" s="99" t="s">
        <v>45</v>
      </c>
      <c r="G151" s="99">
        <f>'اسعار المصنعيات'!D16*0.2</f>
        <v>4</v>
      </c>
      <c r="H151" s="99">
        <v>1</v>
      </c>
      <c r="I151" s="99">
        <v>0</v>
      </c>
      <c r="J151" s="139">
        <f t="shared" ref="J151" si="17">H151*G151+(I151*H151*G151)</f>
        <v>4</v>
      </c>
      <c r="K151" s="104"/>
      <c r="L151" s="116"/>
      <c r="M151" s="5"/>
      <c r="N151" s="5"/>
    </row>
    <row r="152" spans="2:14" ht="21" hidden="1" x14ac:dyDescent="0.25">
      <c r="B152" s="64"/>
      <c r="C152" s="140"/>
      <c r="D152" s="104" t="s">
        <v>16</v>
      </c>
      <c r="E152" s="104" t="s">
        <v>299</v>
      </c>
      <c r="F152" s="99" t="s">
        <v>45</v>
      </c>
      <c r="G152" s="99">
        <v>0.3</v>
      </c>
      <c r="H152" s="99">
        <v>1</v>
      </c>
      <c r="I152" s="99">
        <v>0</v>
      </c>
      <c r="J152" s="65">
        <f>H152*G152+(I152*H152*G152)</f>
        <v>0.3</v>
      </c>
      <c r="K152" s="117"/>
      <c r="L152" s="116"/>
      <c r="M152" s="5"/>
      <c r="N152" s="5"/>
    </row>
    <row r="153" spans="2:14" ht="21" hidden="1" x14ac:dyDescent="0.25">
      <c r="B153" s="64"/>
      <c r="C153" s="1197" t="s">
        <v>13</v>
      </c>
      <c r="D153" s="1198"/>
      <c r="E153" s="1198"/>
      <c r="F153" s="1198"/>
      <c r="G153" s="1198"/>
      <c r="H153" s="1198"/>
      <c r="I153" s="1199"/>
      <c r="J153" s="65">
        <f>SUM(J143:J150)</f>
        <v>64.840795454545457</v>
      </c>
      <c r="K153" s="55">
        <f>+J153*1.25</f>
        <v>81.050994318181822</v>
      </c>
      <c r="L153" s="26">
        <f>K153/J153-1</f>
        <v>0.25</v>
      </c>
      <c r="M153" s="5"/>
      <c r="N153" s="5"/>
    </row>
    <row r="154" spans="2:14" ht="21" hidden="1" x14ac:dyDescent="0.25">
      <c r="B154" s="64">
        <v>5</v>
      </c>
      <c r="C154" s="1252" t="s">
        <v>210</v>
      </c>
      <c r="D154" s="1196" t="s">
        <v>14</v>
      </c>
      <c r="E154" s="104" t="s">
        <v>61</v>
      </c>
      <c r="F154" s="99" t="s">
        <v>45</v>
      </c>
      <c r="G154" s="99">
        <f>'اسعار الخامات'!E30</f>
        <v>30</v>
      </c>
      <c r="H154" s="99">
        <v>1</v>
      </c>
      <c r="I154" s="88">
        <v>0.1</v>
      </c>
      <c r="J154" s="65">
        <f>H154*G154+(I154*H154*G154)</f>
        <v>33</v>
      </c>
      <c r="K154" s="117"/>
      <c r="L154" s="116"/>
      <c r="M154" s="5"/>
      <c r="N154" s="5"/>
    </row>
    <row r="155" spans="2:14" ht="21" hidden="1" x14ac:dyDescent="0.25">
      <c r="B155" s="64"/>
      <c r="C155" s="1194"/>
      <c r="D155" s="1196"/>
      <c r="E155" s="104" t="s">
        <v>18</v>
      </c>
      <c r="F155" s="99" t="s">
        <v>19</v>
      </c>
      <c r="G155" s="106">
        <f>'اسعار الخامات'!E7</f>
        <v>650</v>
      </c>
      <c r="H155" s="96">
        <f>0.35/40</f>
        <v>8.7499999999999991E-3</v>
      </c>
      <c r="I155" s="88">
        <v>0.05</v>
      </c>
      <c r="J155" s="65">
        <f>H155*G155+(I155*H155*G155)</f>
        <v>5.9718749999999989</v>
      </c>
      <c r="K155" s="117"/>
      <c r="L155" s="116"/>
      <c r="M155" s="5"/>
      <c r="N155" s="5"/>
    </row>
    <row r="156" spans="2:14" ht="21" hidden="1" x14ac:dyDescent="0.25">
      <c r="B156" s="64"/>
      <c r="C156" s="1194"/>
      <c r="D156" s="1196"/>
      <c r="E156" s="104" t="s">
        <v>21</v>
      </c>
      <c r="F156" s="99" t="s">
        <v>12</v>
      </c>
      <c r="G156" s="99">
        <f>'اسعار الخامات'!E9</f>
        <v>35</v>
      </c>
      <c r="H156" s="107">
        <f>1/40+(1/10)</f>
        <v>0.125</v>
      </c>
      <c r="I156" s="88">
        <v>0.1</v>
      </c>
      <c r="J156" s="65">
        <f>H156*G156+(I156*H156*G156)</f>
        <v>4.8125</v>
      </c>
      <c r="K156" s="117"/>
      <c r="L156" s="116"/>
      <c r="M156" s="5"/>
      <c r="N156" s="5"/>
    </row>
    <row r="157" spans="2:14" ht="21" hidden="1" x14ac:dyDescent="0.25">
      <c r="B157" s="64"/>
      <c r="C157" s="1194"/>
      <c r="D157" s="1196"/>
      <c r="E157" s="104" t="s">
        <v>15</v>
      </c>
      <c r="F157" s="99" t="s">
        <v>12</v>
      </c>
      <c r="G157" s="99">
        <f>'اسعار الخامات'!E12</f>
        <v>13</v>
      </c>
      <c r="H157" s="99">
        <f>1.75/40</f>
        <v>4.3749999999999997E-2</v>
      </c>
      <c r="I157" s="88">
        <v>0.1</v>
      </c>
      <c r="J157" s="65">
        <f>H157*G157+(I157*H157*G157)</f>
        <v>0.62562499999999999</v>
      </c>
      <c r="K157" s="117"/>
      <c r="L157" s="116"/>
      <c r="M157" s="5"/>
      <c r="N157" s="5"/>
    </row>
    <row r="158" spans="2:14" ht="21" hidden="1" x14ac:dyDescent="0.25">
      <c r="B158" s="64"/>
      <c r="C158" s="1194"/>
      <c r="D158" s="1196"/>
      <c r="E158" s="104" t="s">
        <v>56</v>
      </c>
      <c r="F158" s="99" t="s">
        <v>207</v>
      </c>
      <c r="G158" s="106">
        <f>'اسعار الخامات'!E18/20</f>
        <v>50</v>
      </c>
      <c r="H158" s="107">
        <f>1/40</f>
        <v>2.5000000000000001E-2</v>
      </c>
      <c r="I158" s="88">
        <v>0.05</v>
      </c>
      <c r="J158" s="65">
        <f>H158*G158+(I158*H158*G158)</f>
        <v>1.3125</v>
      </c>
      <c r="K158" s="117"/>
      <c r="L158" s="116"/>
      <c r="M158" s="5"/>
      <c r="N158" s="5"/>
    </row>
    <row r="159" spans="2:14" ht="21" hidden="1" x14ac:dyDescent="0.25">
      <c r="B159" s="64"/>
      <c r="C159" s="1194"/>
      <c r="D159" s="1196" t="s">
        <v>11</v>
      </c>
      <c r="E159" s="104" t="s">
        <v>60</v>
      </c>
      <c r="F159" s="1200" t="s">
        <v>45</v>
      </c>
      <c r="G159" s="1200">
        <f>'اسعار المصنعيات'!D29</f>
        <v>20</v>
      </c>
      <c r="H159" s="1200">
        <v>1</v>
      </c>
      <c r="I159" s="1200">
        <v>0</v>
      </c>
      <c r="J159" s="1205">
        <v>15</v>
      </c>
      <c r="K159" s="117"/>
      <c r="L159" s="116"/>
      <c r="M159" s="5"/>
      <c r="N159" s="5"/>
    </row>
    <row r="160" spans="2:14" ht="21" hidden="1" x14ac:dyDescent="0.25">
      <c r="B160" s="64"/>
      <c r="C160" s="1194"/>
      <c r="D160" s="1196"/>
      <c r="E160" s="104" t="s">
        <v>50</v>
      </c>
      <c r="F160" s="1200"/>
      <c r="G160" s="1200"/>
      <c r="H160" s="1200"/>
      <c r="I160" s="1200"/>
      <c r="J160" s="1205"/>
      <c r="K160" s="117"/>
      <c r="L160" s="116"/>
      <c r="M160" s="5"/>
      <c r="N160" s="5"/>
    </row>
    <row r="161" spans="1:14" ht="21" hidden="1" x14ac:dyDescent="0.25">
      <c r="B161" s="141"/>
      <c r="C161" s="1194"/>
      <c r="D161" s="123"/>
      <c r="E161" s="123" t="s">
        <v>55</v>
      </c>
      <c r="F161" s="1201"/>
      <c r="G161" s="1201"/>
      <c r="H161" s="1201"/>
      <c r="I161" s="1201"/>
      <c r="J161" s="1206"/>
      <c r="K161" s="142"/>
      <c r="L161" s="143"/>
      <c r="M161" s="5"/>
      <c r="N161" s="5"/>
    </row>
    <row r="162" spans="1:14" s="48" customFormat="1" ht="21" hidden="1" x14ac:dyDescent="0.25">
      <c r="A162" s="47"/>
      <c r="B162" s="64"/>
      <c r="C162" s="144"/>
      <c r="D162" s="104" t="s">
        <v>16</v>
      </c>
      <c r="E162" s="104" t="s">
        <v>299</v>
      </c>
      <c r="F162" s="99" t="s">
        <v>45</v>
      </c>
      <c r="G162" s="99">
        <v>0.3</v>
      </c>
      <c r="H162" s="99">
        <v>1</v>
      </c>
      <c r="I162" s="99">
        <v>0</v>
      </c>
      <c r="J162" s="65">
        <f>H162*G162+(I162*H162*G162)</f>
        <v>0.3</v>
      </c>
      <c r="K162" s="145"/>
      <c r="L162" s="145"/>
      <c r="M162" s="4"/>
      <c r="N162" s="4"/>
    </row>
    <row r="163" spans="1:14" ht="21" hidden="1" x14ac:dyDescent="0.25">
      <c r="B163" s="146"/>
      <c r="C163" s="1262" t="s">
        <v>13</v>
      </c>
      <c r="D163" s="1263"/>
      <c r="E163" s="1263"/>
      <c r="F163" s="1263"/>
      <c r="G163" s="1263"/>
      <c r="H163" s="1263"/>
      <c r="I163" s="1264"/>
      <c r="J163" s="103">
        <f>SUM(J154:J162)</f>
        <v>61.022499999999994</v>
      </c>
      <c r="K163" s="147">
        <f>+J163*1.25</f>
        <v>76.278124999999989</v>
      </c>
      <c r="L163" s="148">
        <f>K163/J163-1</f>
        <v>0.25</v>
      </c>
      <c r="M163" s="5"/>
      <c r="N163" s="5"/>
    </row>
    <row r="164" spans="1:14" ht="21" x14ac:dyDescent="0.25">
      <c r="B164" s="64">
        <v>6</v>
      </c>
      <c r="C164" s="1252" t="s">
        <v>448</v>
      </c>
      <c r="D164" s="1196" t="s">
        <v>14</v>
      </c>
      <c r="E164" s="104" t="s">
        <v>61</v>
      </c>
      <c r="F164" s="99" t="s">
        <v>45</v>
      </c>
      <c r="G164" s="99">
        <f>'اسعار الخامات'!E31</f>
        <v>30</v>
      </c>
      <c r="H164" s="99">
        <v>1</v>
      </c>
      <c r="I164" s="88">
        <v>0.1</v>
      </c>
      <c r="J164" s="65">
        <f>H164*G164+(I164*H164*G164)</f>
        <v>33</v>
      </c>
      <c r="K164" s="117"/>
      <c r="L164" s="116"/>
      <c r="M164" s="5"/>
      <c r="N164" s="5"/>
    </row>
    <row r="165" spans="1:14" ht="21" x14ac:dyDescent="0.25">
      <c r="B165" s="64"/>
      <c r="C165" s="1194"/>
      <c r="D165" s="1196"/>
      <c r="E165" s="104" t="s">
        <v>18</v>
      </c>
      <c r="F165" s="99" t="s">
        <v>19</v>
      </c>
      <c r="G165" s="106">
        <f>'اسعار الخامات'!E7</f>
        <v>650</v>
      </c>
      <c r="H165" s="96">
        <f>0.35/40</f>
        <v>8.7499999999999991E-3</v>
      </c>
      <c r="I165" s="88">
        <v>0.05</v>
      </c>
      <c r="J165" s="65">
        <f>H165*G165+(I165*H165*G165)</f>
        <v>5.9718749999999989</v>
      </c>
      <c r="K165" s="117"/>
      <c r="L165" s="116"/>
      <c r="M165" s="5"/>
      <c r="N165" s="5"/>
    </row>
    <row r="166" spans="1:14" ht="21" x14ac:dyDescent="0.25">
      <c r="B166" s="64"/>
      <c r="C166" s="1194"/>
      <c r="D166" s="1196"/>
      <c r="E166" s="104" t="s">
        <v>21</v>
      </c>
      <c r="F166" s="99" t="s">
        <v>12</v>
      </c>
      <c r="G166" s="99">
        <f>'اسعار الخامات'!E9</f>
        <v>35</v>
      </c>
      <c r="H166" s="107">
        <f>1/40+(1/10)</f>
        <v>0.125</v>
      </c>
      <c r="I166" s="88">
        <v>0.1</v>
      </c>
      <c r="J166" s="65">
        <f>H166*G166+(I166*H166*G166)</f>
        <v>4.8125</v>
      </c>
      <c r="K166" s="117"/>
      <c r="L166" s="116"/>
      <c r="M166" s="5"/>
      <c r="N166" s="5"/>
    </row>
    <row r="167" spans="1:14" ht="21" x14ac:dyDescent="0.25">
      <c r="B167" s="64"/>
      <c r="C167" s="1194"/>
      <c r="D167" s="1196"/>
      <c r="E167" s="104" t="s">
        <v>15</v>
      </c>
      <c r="F167" s="99" t="s">
        <v>12</v>
      </c>
      <c r="G167" s="99">
        <f>'اسعار الخامات'!E12</f>
        <v>13</v>
      </c>
      <c r="H167" s="99">
        <f>1.75/40</f>
        <v>4.3749999999999997E-2</v>
      </c>
      <c r="I167" s="88">
        <v>0.1</v>
      </c>
      <c r="J167" s="65">
        <f>H167*G167+(I167*H167*G167)</f>
        <v>0.62562499999999999</v>
      </c>
      <c r="K167" s="117"/>
      <c r="L167" s="116"/>
      <c r="M167" s="5"/>
      <c r="N167" s="5"/>
    </row>
    <row r="168" spans="1:14" ht="21" x14ac:dyDescent="0.25">
      <c r="B168" s="64"/>
      <c r="C168" s="1194"/>
      <c r="D168" s="1196"/>
      <c r="E168" s="104" t="s">
        <v>56</v>
      </c>
      <c r="F168" s="99" t="s">
        <v>207</v>
      </c>
      <c r="G168" s="106">
        <f>'اسعار الخامات'!E18/20</f>
        <v>50</v>
      </c>
      <c r="H168" s="107">
        <f>1/40</f>
        <v>2.5000000000000001E-2</v>
      </c>
      <c r="I168" s="88">
        <v>0.05</v>
      </c>
      <c r="J168" s="65">
        <f>H168*G168+(I168*H168*G168)</f>
        <v>1.3125</v>
      </c>
      <c r="K168" s="117"/>
      <c r="L168" s="116"/>
      <c r="M168" s="5"/>
      <c r="N168" s="5"/>
    </row>
    <row r="169" spans="1:14" ht="21" x14ac:dyDescent="0.25">
      <c r="B169" s="64"/>
      <c r="C169" s="1194"/>
      <c r="D169" s="1196" t="s">
        <v>11</v>
      </c>
      <c r="E169" s="104" t="s">
        <v>60</v>
      </c>
      <c r="F169" s="1200" t="s">
        <v>45</v>
      </c>
      <c r="G169" s="1200">
        <f>'اسعار المصنعيات'!D29</f>
        <v>20</v>
      </c>
      <c r="H169" s="1200">
        <v>1</v>
      </c>
      <c r="I169" s="1200">
        <v>0</v>
      </c>
      <c r="J169" s="1205">
        <v>15</v>
      </c>
      <c r="K169" s="117"/>
      <c r="L169" s="116"/>
      <c r="M169" s="5"/>
      <c r="N169" s="5"/>
    </row>
    <row r="170" spans="1:14" ht="21" x14ac:dyDescent="0.25">
      <c r="B170" s="64"/>
      <c r="C170" s="1194"/>
      <c r="D170" s="1196"/>
      <c r="E170" s="104" t="s">
        <v>50</v>
      </c>
      <c r="F170" s="1200"/>
      <c r="G170" s="1200"/>
      <c r="H170" s="1200"/>
      <c r="I170" s="1200"/>
      <c r="J170" s="1205"/>
      <c r="K170" s="117"/>
      <c r="L170" s="116"/>
      <c r="M170" s="5"/>
      <c r="N170" s="5"/>
    </row>
    <row r="171" spans="1:14" ht="21" x14ac:dyDescent="0.25">
      <c r="B171" s="64"/>
      <c r="C171" s="1195"/>
      <c r="D171" s="104"/>
      <c r="E171" s="104" t="s">
        <v>55</v>
      </c>
      <c r="F171" s="1200"/>
      <c r="G171" s="1200"/>
      <c r="H171" s="1200"/>
      <c r="I171" s="1200"/>
      <c r="J171" s="1205"/>
      <c r="K171" s="117"/>
      <c r="L171" s="116"/>
      <c r="M171" s="5"/>
      <c r="N171" s="5"/>
    </row>
    <row r="172" spans="1:14" s="48" customFormat="1" ht="21" x14ac:dyDescent="0.25">
      <c r="A172" s="47"/>
      <c r="B172" s="64"/>
      <c r="C172" s="144"/>
      <c r="D172" s="104" t="s">
        <v>16</v>
      </c>
      <c r="E172" s="104" t="s">
        <v>299</v>
      </c>
      <c r="F172" s="99" t="s">
        <v>45</v>
      </c>
      <c r="G172" s="99">
        <v>0.3</v>
      </c>
      <c r="H172" s="99">
        <v>1</v>
      </c>
      <c r="I172" s="99">
        <v>0</v>
      </c>
      <c r="J172" s="65">
        <f>H172*G172+(I172*H172*G172)</f>
        <v>0.3</v>
      </c>
      <c r="K172" s="145"/>
      <c r="L172" s="145"/>
      <c r="M172" s="4"/>
      <c r="N172" s="4"/>
    </row>
    <row r="173" spans="1:14" ht="21" x14ac:dyDescent="0.25">
      <c r="B173" s="64"/>
      <c r="C173" s="1197" t="s">
        <v>13</v>
      </c>
      <c r="D173" s="1198"/>
      <c r="E173" s="1198"/>
      <c r="F173" s="1198"/>
      <c r="G173" s="1198"/>
      <c r="H173" s="1198"/>
      <c r="I173" s="1199"/>
      <c r="J173" s="65">
        <f>SUM(J164:J172)</f>
        <v>61.022499999999994</v>
      </c>
      <c r="K173" s="55">
        <f>+J173*1.25</f>
        <v>76.278124999999989</v>
      </c>
      <c r="L173" s="120">
        <f>K173/J173-1</f>
        <v>0.25</v>
      </c>
      <c r="M173" s="121">
        <v>0.75</v>
      </c>
      <c r="N173" s="121">
        <f>J173/M173</f>
        <v>81.36333333333333</v>
      </c>
    </row>
    <row r="174" spans="1:14" ht="21" x14ac:dyDescent="0.25">
      <c r="B174" s="59">
        <v>7</v>
      </c>
      <c r="C174" s="1207" t="s">
        <v>261</v>
      </c>
      <c r="D174" s="1208" t="s">
        <v>14</v>
      </c>
      <c r="E174" s="22" t="s">
        <v>61</v>
      </c>
      <c r="F174" s="51" t="s">
        <v>45</v>
      </c>
      <c r="G174" s="42">
        <f>'اسعار الخامات'!E31</f>
        <v>30</v>
      </c>
      <c r="H174" s="51">
        <f>1/10</f>
        <v>0.1</v>
      </c>
      <c r="I174" s="13">
        <v>0.1</v>
      </c>
      <c r="J174" s="58">
        <f t="shared" ref="J174:J179" si="18">H174*G174+(I174*H174*G174)</f>
        <v>3.3</v>
      </c>
      <c r="K174" s="54"/>
      <c r="L174" s="23"/>
    </row>
    <row r="175" spans="1:14" ht="21" x14ac:dyDescent="0.25">
      <c r="B175" s="59"/>
      <c r="C175" s="1188"/>
      <c r="D175" s="1208"/>
      <c r="E175" s="22" t="s">
        <v>18</v>
      </c>
      <c r="F175" s="51" t="s">
        <v>19</v>
      </c>
      <c r="G175" s="44">
        <f>'اسعار الخامات'!E7</f>
        <v>650</v>
      </c>
      <c r="H175" s="18">
        <f>0.35/40/10</f>
        <v>8.7499999999999991E-4</v>
      </c>
      <c r="I175" s="13">
        <v>0.05</v>
      </c>
      <c r="J175" s="58">
        <f t="shared" si="18"/>
        <v>0.59718749999999998</v>
      </c>
      <c r="K175" s="54"/>
      <c r="L175" s="23"/>
    </row>
    <row r="176" spans="1:14" ht="21" x14ac:dyDescent="0.25">
      <c r="B176" s="59"/>
      <c r="C176" s="1188"/>
      <c r="D176" s="1208"/>
      <c r="E176" s="22" t="s">
        <v>21</v>
      </c>
      <c r="F176" s="51" t="s">
        <v>12</v>
      </c>
      <c r="G176" s="42">
        <f>'اسعار الخامات'!E9</f>
        <v>35</v>
      </c>
      <c r="H176" s="14">
        <f>1/40+(1/10)/10</f>
        <v>3.5000000000000003E-2</v>
      </c>
      <c r="I176" s="13">
        <v>0.1</v>
      </c>
      <c r="J176" s="58">
        <f t="shared" si="18"/>
        <v>1.3475000000000001</v>
      </c>
      <c r="K176" s="54"/>
      <c r="L176" s="23"/>
    </row>
    <row r="177" spans="1:12" ht="21" x14ac:dyDescent="0.25">
      <c r="B177" s="59"/>
      <c r="C177" s="1188"/>
      <c r="D177" s="1208"/>
      <c r="E177" s="22" t="s">
        <v>15</v>
      </c>
      <c r="F177" s="51" t="s">
        <v>12</v>
      </c>
      <c r="G177" s="42">
        <f>'اسعار الخامات'!E12</f>
        <v>13</v>
      </c>
      <c r="H177" s="51">
        <f>1.75/40/10</f>
        <v>4.3749999999999995E-3</v>
      </c>
      <c r="I177" s="13">
        <v>0.1</v>
      </c>
      <c r="J177" s="58">
        <f t="shared" si="18"/>
        <v>6.2562499999999993E-2</v>
      </c>
      <c r="K177" s="54"/>
      <c r="L177" s="23"/>
    </row>
    <row r="178" spans="1:12" ht="21" x14ac:dyDescent="0.25">
      <c r="B178" s="59"/>
      <c r="C178" s="1188"/>
      <c r="D178" s="1208"/>
      <c r="E178" s="22" t="s">
        <v>56</v>
      </c>
      <c r="F178" s="51" t="s">
        <v>207</v>
      </c>
      <c r="G178" s="44">
        <f>'اسعار الخامات'!E18/20</f>
        <v>50</v>
      </c>
      <c r="H178" s="14">
        <f>1/40/10</f>
        <v>2.5000000000000001E-3</v>
      </c>
      <c r="I178" s="13">
        <v>0.05</v>
      </c>
      <c r="J178" s="58">
        <f t="shared" si="18"/>
        <v>0.13125000000000001</v>
      </c>
      <c r="K178" s="54"/>
      <c r="L178" s="23"/>
    </row>
    <row r="179" spans="1:12" ht="21" x14ac:dyDescent="0.25">
      <c r="B179" s="59"/>
      <c r="C179" s="1188"/>
      <c r="D179" s="1208" t="s">
        <v>11</v>
      </c>
      <c r="E179" s="22" t="s">
        <v>60</v>
      </c>
      <c r="F179" s="1209" t="s">
        <v>45</v>
      </c>
      <c r="G179" s="1210">
        <f>'اسعار المصنعيات'!D30</f>
        <v>3.5</v>
      </c>
      <c r="H179" s="1209">
        <v>1</v>
      </c>
      <c r="I179" s="1209">
        <v>0</v>
      </c>
      <c r="J179" s="1182">
        <f t="shared" si="18"/>
        <v>3.5</v>
      </c>
      <c r="K179" s="54"/>
      <c r="L179" s="23"/>
    </row>
    <row r="180" spans="1:12" ht="21" x14ac:dyDescent="0.25">
      <c r="B180" s="59"/>
      <c r="C180" s="1188"/>
      <c r="D180" s="1208"/>
      <c r="E180" s="22" t="s">
        <v>50</v>
      </c>
      <c r="F180" s="1209"/>
      <c r="G180" s="1210"/>
      <c r="H180" s="1209"/>
      <c r="I180" s="1209"/>
      <c r="J180" s="1183"/>
      <c r="K180" s="54"/>
      <c r="L180" s="23"/>
    </row>
    <row r="181" spans="1:12" ht="21" x14ac:dyDescent="0.25">
      <c r="B181" s="59"/>
      <c r="C181" s="1189"/>
      <c r="D181" s="50"/>
      <c r="E181" s="22" t="s">
        <v>55</v>
      </c>
      <c r="F181" s="1209"/>
      <c r="G181" s="1210"/>
      <c r="H181" s="1209"/>
      <c r="I181" s="1209"/>
      <c r="J181" s="1184"/>
      <c r="K181" s="54"/>
      <c r="L181" s="23"/>
    </row>
    <row r="182" spans="1:12" s="48" customFormat="1" ht="21" x14ac:dyDescent="0.25">
      <c r="A182" s="47"/>
      <c r="B182" s="59"/>
      <c r="C182" s="46"/>
      <c r="D182" s="50" t="s">
        <v>16</v>
      </c>
      <c r="E182" s="22" t="s">
        <v>299</v>
      </c>
      <c r="F182" s="51" t="s">
        <v>45</v>
      </c>
      <c r="G182" s="82">
        <v>0.3</v>
      </c>
      <c r="H182" s="51">
        <v>1</v>
      </c>
      <c r="I182" s="51">
        <v>0</v>
      </c>
      <c r="J182" s="58">
        <f>H182*G182+(I182*H182*G182)</f>
        <v>0.3</v>
      </c>
      <c r="K182" s="47"/>
      <c r="L182" s="47"/>
    </row>
    <row r="183" spans="1:12" ht="21" x14ac:dyDescent="0.25">
      <c r="B183" s="62"/>
      <c r="C183" s="1185" t="s">
        <v>13</v>
      </c>
      <c r="D183" s="1186"/>
      <c r="E183" s="1186"/>
      <c r="F183" s="1186"/>
      <c r="G183" s="1186"/>
      <c r="H183" s="1186"/>
      <c r="I183" s="1187"/>
      <c r="J183" s="61">
        <f>SUM(J174:J182)</f>
        <v>9.2385000000000002</v>
      </c>
      <c r="K183" s="36">
        <f>+J183*1.25</f>
        <v>11.548125000000001</v>
      </c>
      <c r="L183" s="24">
        <f>K183/J183-1</f>
        <v>0.25</v>
      </c>
    </row>
    <row r="184" spans="1:12" ht="21" x14ac:dyDescent="0.25">
      <c r="B184" s="59">
        <v>8</v>
      </c>
      <c r="C184" s="1260" t="s">
        <v>209</v>
      </c>
      <c r="D184" s="1202" t="s">
        <v>14</v>
      </c>
      <c r="E184" s="22" t="s">
        <v>62</v>
      </c>
      <c r="F184" s="51" t="s">
        <v>45</v>
      </c>
      <c r="G184" s="42">
        <f>'اسعار الخامات'!E32</f>
        <v>12</v>
      </c>
      <c r="H184" s="51">
        <v>1</v>
      </c>
      <c r="I184" s="13">
        <v>7.0000000000000007E-2</v>
      </c>
      <c r="J184" s="58">
        <f>H184*G184+(I184*H184*G184)</f>
        <v>12.84</v>
      </c>
      <c r="K184" s="54"/>
      <c r="L184" s="23"/>
    </row>
    <row r="185" spans="1:12" ht="21" x14ac:dyDescent="0.25">
      <c r="B185" s="59"/>
      <c r="C185" s="1260"/>
      <c r="D185" s="1190"/>
      <c r="E185" s="22" t="s">
        <v>18</v>
      </c>
      <c r="F185" s="51" t="s">
        <v>19</v>
      </c>
      <c r="G185" s="44">
        <f>'اسعار الخامات'!E7</f>
        <v>650</v>
      </c>
      <c r="H185" s="18">
        <f>0.35/40+0.002</f>
        <v>1.0749999999999999E-2</v>
      </c>
      <c r="I185" s="13">
        <v>0.05</v>
      </c>
      <c r="J185" s="58">
        <f>H185*G185+(I185*H185*G185)</f>
        <v>7.336875</v>
      </c>
      <c r="K185" s="54"/>
      <c r="L185" s="23"/>
    </row>
    <row r="186" spans="1:12" ht="21" x14ac:dyDescent="0.25">
      <c r="B186" s="59"/>
      <c r="C186" s="1260"/>
      <c r="D186" s="1190"/>
      <c r="E186" s="22" t="s">
        <v>21</v>
      </c>
      <c r="F186" s="51" t="s">
        <v>12</v>
      </c>
      <c r="G186" s="42">
        <f>'اسعار الخامات'!E8</f>
        <v>35</v>
      </c>
      <c r="H186" s="14">
        <f>1/40+(1/10)</f>
        <v>0.125</v>
      </c>
      <c r="I186" s="13">
        <v>0.1</v>
      </c>
      <c r="J186" s="58">
        <f>H186*G186+(I186*H186*G186)</f>
        <v>4.8125</v>
      </c>
      <c r="K186" s="54"/>
      <c r="L186" s="23"/>
    </row>
    <row r="187" spans="1:12" ht="21" x14ac:dyDescent="0.25">
      <c r="B187" s="59"/>
      <c r="C187" s="1260"/>
      <c r="D187" s="1191"/>
      <c r="E187" s="22" t="s">
        <v>15</v>
      </c>
      <c r="F187" s="51" t="s">
        <v>12</v>
      </c>
      <c r="G187" s="42">
        <f>'اسعار الخامات'!E12</f>
        <v>13</v>
      </c>
      <c r="H187" s="51">
        <f>1.75/40</f>
        <v>4.3749999999999997E-2</v>
      </c>
      <c r="I187" s="13">
        <v>0.1</v>
      </c>
      <c r="J187" s="58">
        <f>H187*G187+(I187*H187*G187)</f>
        <v>0.62562499999999999</v>
      </c>
      <c r="K187" s="54"/>
      <c r="L187" s="23"/>
    </row>
    <row r="188" spans="1:12" ht="21" x14ac:dyDescent="0.25">
      <c r="B188" s="59"/>
      <c r="C188" s="1261"/>
      <c r="D188" s="50" t="s">
        <v>11</v>
      </c>
      <c r="E188" s="22" t="s">
        <v>60</v>
      </c>
      <c r="F188" s="51" t="s">
        <v>45</v>
      </c>
      <c r="G188" s="52">
        <f>'اسعار المصنعيات'!D32</f>
        <v>8</v>
      </c>
      <c r="H188" s="51">
        <v>1</v>
      </c>
      <c r="I188" s="51">
        <v>0</v>
      </c>
      <c r="J188" s="58">
        <f>H188*G188</f>
        <v>8</v>
      </c>
      <c r="K188" s="54"/>
      <c r="L188" s="23"/>
    </row>
    <row r="189" spans="1:12" s="48" customFormat="1" ht="21" x14ac:dyDescent="0.25">
      <c r="A189" s="47"/>
      <c r="B189" s="59"/>
      <c r="C189" s="46"/>
      <c r="D189" s="50" t="s">
        <v>16</v>
      </c>
      <c r="E189" s="22" t="s">
        <v>300</v>
      </c>
      <c r="F189" s="51" t="s">
        <v>45</v>
      </c>
      <c r="G189" s="82">
        <v>0.5</v>
      </c>
      <c r="H189" s="51">
        <v>1</v>
      </c>
      <c r="I189" s="51">
        <v>0</v>
      </c>
      <c r="J189" s="58">
        <f>H189*G189+(I189*H189*G189)</f>
        <v>0.5</v>
      </c>
      <c r="K189" s="47"/>
      <c r="L189" s="47"/>
    </row>
    <row r="190" spans="1:12" ht="21" x14ac:dyDescent="0.25">
      <c r="B190" s="62"/>
      <c r="C190" s="1185" t="s">
        <v>13</v>
      </c>
      <c r="D190" s="1186"/>
      <c r="E190" s="1186"/>
      <c r="F190" s="1186"/>
      <c r="G190" s="1186"/>
      <c r="H190" s="1186"/>
      <c r="I190" s="1187"/>
      <c r="J190" s="61">
        <f>SUM(J184:J189)</f>
        <v>34.114999999999995</v>
      </c>
      <c r="K190" s="36">
        <f>+J190*1.25</f>
        <v>42.643749999999997</v>
      </c>
      <c r="L190" s="24">
        <f>K190/J190-1</f>
        <v>0.25</v>
      </c>
    </row>
    <row r="191" spans="1:12" ht="21" x14ac:dyDescent="0.25">
      <c r="B191" s="59">
        <v>9</v>
      </c>
      <c r="C191" s="1207" t="s">
        <v>262</v>
      </c>
      <c r="D191" s="1208" t="s">
        <v>14</v>
      </c>
      <c r="E191" s="22" t="s">
        <v>62</v>
      </c>
      <c r="F191" s="51" t="s">
        <v>45</v>
      </c>
      <c r="G191" s="42">
        <f>'اسعار الخامات'!E32</f>
        <v>12</v>
      </c>
      <c r="H191" s="51">
        <f>1/5</f>
        <v>0.2</v>
      </c>
      <c r="I191" s="13">
        <v>7.0000000000000007E-2</v>
      </c>
      <c r="J191" s="58">
        <f>H191*G191+(I191*H191*G191)</f>
        <v>2.5680000000000005</v>
      </c>
      <c r="K191" s="54"/>
      <c r="L191" s="23"/>
    </row>
    <row r="192" spans="1:12" ht="21" x14ac:dyDescent="0.25">
      <c r="B192" s="59"/>
      <c r="C192" s="1188"/>
      <c r="D192" s="1208"/>
      <c r="E192" s="22" t="s">
        <v>18</v>
      </c>
      <c r="F192" s="51" t="s">
        <v>19</v>
      </c>
      <c r="G192" s="44">
        <f>'اسعار الخامات'!E7</f>
        <v>650</v>
      </c>
      <c r="H192" s="18">
        <f>0.35/40/5</f>
        <v>1.7499999999999998E-3</v>
      </c>
      <c r="I192" s="13">
        <v>0.05</v>
      </c>
      <c r="J192" s="58">
        <f>H192*G192+(I192*H192*G192)</f>
        <v>1.194375</v>
      </c>
      <c r="K192" s="54"/>
      <c r="L192" s="23"/>
    </row>
    <row r="193" spans="1:12" ht="21" x14ac:dyDescent="0.25">
      <c r="B193" s="59"/>
      <c r="C193" s="1188"/>
      <c r="D193" s="1208"/>
      <c r="E193" s="22" t="s">
        <v>21</v>
      </c>
      <c r="F193" s="51" t="s">
        <v>12</v>
      </c>
      <c r="G193" s="42">
        <f>'اسعار الخامات'!E9</f>
        <v>35</v>
      </c>
      <c r="H193" s="14">
        <f>1/40+(1/10)/5</f>
        <v>4.4999999999999998E-2</v>
      </c>
      <c r="I193" s="13">
        <v>0.1</v>
      </c>
      <c r="J193" s="58">
        <f>H193*G193+(I193*H193*G193)</f>
        <v>1.7324999999999999</v>
      </c>
      <c r="K193" s="54"/>
      <c r="L193" s="23"/>
    </row>
    <row r="194" spans="1:12" ht="21" x14ac:dyDescent="0.25">
      <c r="B194" s="59"/>
      <c r="C194" s="1188"/>
      <c r="D194" s="1208"/>
      <c r="E194" s="22" t="s">
        <v>15</v>
      </c>
      <c r="F194" s="51" t="s">
        <v>12</v>
      </c>
      <c r="G194" s="42">
        <f>'اسعار الخامات'!E12</f>
        <v>13</v>
      </c>
      <c r="H194" s="51">
        <f>1.75/40/5</f>
        <v>8.7499999999999991E-3</v>
      </c>
      <c r="I194" s="13">
        <v>0.1</v>
      </c>
      <c r="J194" s="58">
        <f>H194*G194+(I194*H194*G194)</f>
        <v>0.12512499999999999</v>
      </c>
      <c r="K194" s="54"/>
      <c r="L194" s="23"/>
    </row>
    <row r="195" spans="1:12" ht="21" x14ac:dyDescent="0.25">
      <c r="B195" s="59"/>
      <c r="C195" s="1188"/>
      <c r="D195" s="1208" t="s">
        <v>11</v>
      </c>
      <c r="E195" s="22" t="s">
        <v>60</v>
      </c>
      <c r="F195" s="1209" t="s">
        <v>45</v>
      </c>
      <c r="G195" s="1210">
        <f>'اسعار المصنعيات'!D33</f>
        <v>0</v>
      </c>
      <c r="H195" s="1209">
        <v>1</v>
      </c>
      <c r="I195" s="1209">
        <v>0</v>
      </c>
      <c r="J195" s="1182">
        <f>H195*G195+(I195*H195*G195)</f>
        <v>0</v>
      </c>
      <c r="K195" s="54"/>
      <c r="L195" s="23"/>
    </row>
    <row r="196" spans="1:12" ht="21" x14ac:dyDescent="0.25">
      <c r="B196" s="59"/>
      <c r="C196" s="1188"/>
      <c r="D196" s="1208"/>
      <c r="E196" s="22" t="s">
        <v>50</v>
      </c>
      <c r="F196" s="1209"/>
      <c r="G196" s="1210"/>
      <c r="H196" s="1209"/>
      <c r="I196" s="1209"/>
      <c r="J196" s="1183"/>
      <c r="K196" s="54"/>
      <c r="L196" s="23"/>
    </row>
    <row r="197" spans="1:12" ht="21" x14ac:dyDescent="0.25">
      <c r="B197" s="59"/>
      <c r="C197" s="1189"/>
      <c r="D197" s="50"/>
      <c r="E197" s="22" t="s">
        <v>55</v>
      </c>
      <c r="F197" s="1209"/>
      <c r="G197" s="1210"/>
      <c r="H197" s="1209"/>
      <c r="I197" s="1209"/>
      <c r="J197" s="1184"/>
      <c r="K197" s="54"/>
      <c r="L197" s="23"/>
    </row>
    <row r="198" spans="1:12" s="48" customFormat="1" ht="21" x14ac:dyDescent="0.25">
      <c r="A198" s="47"/>
      <c r="B198" s="59"/>
      <c r="C198" s="46"/>
      <c r="D198" s="50" t="s">
        <v>16</v>
      </c>
      <c r="E198" s="22" t="s">
        <v>300</v>
      </c>
      <c r="F198" s="51" t="s">
        <v>45</v>
      </c>
      <c r="G198" s="82">
        <v>0.5</v>
      </c>
      <c r="H198" s="51">
        <v>1</v>
      </c>
      <c r="I198" s="51">
        <v>0</v>
      </c>
      <c r="J198" s="58">
        <f>H198*G198+(I198*H198*G198)</f>
        <v>0.5</v>
      </c>
      <c r="K198" s="47"/>
      <c r="L198" s="47"/>
    </row>
    <row r="199" spans="1:12" ht="21" x14ac:dyDescent="0.25">
      <c r="B199" s="62"/>
      <c r="C199" s="1185" t="s">
        <v>13</v>
      </c>
      <c r="D199" s="1186"/>
      <c r="E199" s="1186"/>
      <c r="F199" s="1186"/>
      <c r="G199" s="1186"/>
      <c r="H199" s="1186"/>
      <c r="I199" s="1187"/>
      <c r="J199" s="61">
        <f>SUM(J191:J198)</f>
        <v>6.12</v>
      </c>
      <c r="K199" s="36">
        <f>+J199*1.25</f>
        <v>7.65</v>
      </c>
      <c r="L199" s="24">
        <f>K199/J199-1</f>
        <v>0.25</v>
      </c>
    </row>
    <row r="200" spans="1:12" ht="20.25" customHeight="1" x14ac:dyDescent="0.25">
      <c r="B200" s="59">
        <v>10</v>
      </c>
      <c r="C200" s="1207" t="s">
        <v>303</v>
      </c>
      <c r="D200" s="1202" t="s">
        <v>14</v>
      </c>
      <c r="E200" s="22" t="s">
        <v>305</v>
      </c>
      <c r="F200" s="51" t="s">
        <v>45</v>
      </c>
      <c r="G200" s="42">
        <v>17</v>
      </c>
      <c r="H200" s="51">
        <v>1</v>
      </c>
      <c r="I200" s="13">
        <v>7.0000000000000007E-2</v>
      </c>
      <c r="J200" s="58">
        <f>H200*G200+(I200*H200*G200)</f>
        <v>18.190000000000001</v>
      </c>
      <c r="K200" s="54"/>
      <c r="L200" s="23"/>
    </row>
    <row r="201" spans="1:12" ht="21" x14ac:dyDescent="0.25">
      <c r="B201" s="59"/>
      <c r="C201" s="1188"/>
      <c r="D201" s="1190"/>
      <c r="E201" s="22" t="s">
        <v>18</v>
      </c>
      <c r="F201" s="51" t="s">
        <v>19</v>
      </c>
      <c r="G201" s="44">
        <f>'اسعار الخامات'!E7</f>
        <v>650</v>
      </c>
      <c r="H201" s="18">
        <f>0.35/40</f>
        <v>8.7499999999999991E-3</v>
      </c>
      <c r="I201" s="13">
        <v>0.05</v>
      </c>
      <c r="J201" s="58">
        <f>H201*G201+(I201*H201*G201)</f>
        <v>5.9718749999999989</v>
      </c>
      <c r="K201" s="54"/>
      <c r="L201" s="23"/>
    </row>
    <row r="202" spans="1:12" ht="21" x14ac:dyDescent="0.25">
      <c r="B202" s="59"/>
      <c r="C202" s="1188"/>
      <c r="D202" s="1190"/>
      <c r="E202" s="22" t="s">
        <v>21</v>
      </c>
      <c r="F202" s="51" t="s">
        <v>12</v>
      </c>
      <c r="G202" s="42">
        <f>'اسعار الخامات'!E9</f>
        <v>35</v>
      </c>
      <c r="H202" s="14">
        <f>1/40+(1/10)</f>
        <v>0.125</v>
      </c>
      <c r="I202" s="13">
        <v>0.1</v>
      </c>
      <c r="J202" s="58">
        <f>H202*G202+(I202*H202*G202)</f>
        <v>4.8125</v>
      </c>
      <c r="K202" s="54"/>
      <c r="L202" s="23"/>
    </row>
    <row r="203" spans="1:12" ht="21" x14ac:dyDescent="0.25">
      <c r="B203" s="59"/>
      <c r="C203" s="1188"/>
      <c r="D203" s="1191"/>
      <c r="E203" s="22" t="s">
        <v>15</v>
      </c>
      <c r="F203" s="51" t="s">
        <v>12</v>
      </c>
      <c r="G203" s="42">
        <f>'اسعار الخامات'!E12</f>
        <v>13</v>
      </c>
      <c r="H203" s="51">
        <f>1.75/40</f>
        <v>4.3749999999999997E-2</v>
      </c>
      <c r="I203" s="13">
        <v>0.1</v>
      </c>
      <c r="J203" s="58">
        <f>H203*G203+(I203*H203*G203)</f>
        <v>0.62562499999999999</v>
      </c>
      <c r="K203" s="54"/>
      <c r="L203" s="23"/>
    </row>
    <row r="204" spans="1:12" ht="21" x14ac:dyDescent="0.25">
      <c r="B204" s="59"/>
      <c r="C204" s="1188"/>
      <c r="D204" s="49"/>
      <c r="E204" s="22" t="s">
        <v>307</v>
      </c>
      <c r="F204" s="51" t="s">
        <v>45</v>
      </c>
      <c r="G204" s="52">
        <v>3</v>
      </c>
      <c r="H204" s="51">
        <v>1</v>
      </c>
      <c r="I204" s="13">
        <v>0</v>
      </c>
      <c r="J204" s="58">
        <f>H204*G204+(I204*H204*G204)</f>
        <v>3</v>
      </c>
      <c r="K204" s="54"/>
      <c r="L204" s="23"/>
    </row>
    <row r="205" spans="1:12" ht="21" x14ac:dyDescent="0.25">
      <c r="B205" s="59"/>
      <c r="C205" s="1189"/>
      <c r="D205" s="50" t="s">
        <v>11</v>
      </c>
      <c r="E205" s="22" t="s">
        <v>60</v>
      </c>
      <c r="F205" s="51" t="s">
        <v>45</v>
      </c>
      <c r="G205" s="52">
        <f>'اسعار المصنعيات'!D34</f>
        <v>15</v>
      </c>
      <c r="H205" s="51">
        <v>1</v>
      </c>
      <c r="I205" s="51">
        <v>0</v>
      </c>
      <c r="J205" s="58">
        <f>H205*G205</f>
        <v>15</v>
      </c>
      <c r="K205" s="54"/>
      <c r="L205" s="23"/>
    </row>
    <row r="206" spans="1:12" s="48" customFormat="1" ht="21" x14ac:dyDescent="0.25">
      <c r="A206" s="47"/>
      <c r="B206" s="59"/>
      <c r="C206" s="46"/>
      <c r="D206" s="50" t="s">
        <v>16</v>
      </c>
      <c r="E206" s="22" t="s">
        <v>300</v>
      </c>
      <c r="F206" s="51" t="s">
        <v>45</v>
      </c>
      <c r="G206" s="82">
        <v>0.5</v>
      </c>
      <c r="H206" s="51">
        <v>1</v>
      </c>
      <c r="I206" s="51">
        <v>0</v>
      </c>
      <c r="J206" s="58">
        <f>H206*G206+(I206*H206*G206)</f>
        <v>0.5</v>
      </c>
      <c r="K206" s="47"/>
      <c r="L206" s="47"/>
    </row>
    <row r="207" spans="1:12" ht="21" x14ac:dyDescent="0.25">
      <c r="B207" s="62"/>
      <c r="C207" s="1185" t="s">
        <v>13</v>
      </c>
      <c r="D207" s="1186"/>
      <c r="E207" s="1186"/>
      <c r="F207" s="1186"/>
      <c r="G207" s="1186"/>
      <c r="H207" s="1186"/>
      <c r="I207" s="1187"/>
      <c r="J207" s="61">
        <f>SUM(J200:J206)</f>
        <v>48.1</v>
      </c>
      <c r="K207" s="36">
        <f>+J207*1.25</f>
        <v>60.125</v>
      </c>
      <c r="L207" s="24">
        <f>K207/J207-1</f>
        <v>0.25</v>
      </c>
    </row>
    <row r="208" spans="1:12" ht="20.25" customHeight="1" x14ac:dyDescent="0.25">
      <c r="B208" s="59">
        <v>10</v>
      </c>
      <c r="C208" s="1207" t="s">
        <v>208</v>
      </c>
      <c r="D208" s="1202" t="s">
        <v>14</v>
      </c>
      <c r="E208" s="22" t="s">
        <v>306</v>
      </c>
      <c r="F208" s="51" t="s">
        <v>45</v>
      </c>
      <c r="G208" s="42">
        <f>'اسعار الخامات'!E34</f>
        <v>50</v>
      </c>
      <c r="H208" s="51">
        <v>1</v>
      </c>
      <c r="I208" s="13">
        <v>7.0000000000000007E-2</v>
      </c>
      <c r="J208" s="58">
        <f>H208*G208+(I208*H208*G208)</f>
        <v>53.5</v>
      </c>
      <c r="K208" s="54"/>
      <c r="L208" s="23"/>
    </row>
    <row r="209" spans="1:12" ht="21" x14ac:dyDescent="0.25">
      <c r="B209" s="59"/>
      <c r="C209" s="1188"/>
      <c r="D209" s="1190"/>
      <c r="E209" s="22" t="s">
        <v>18</v>
      </c>
      <c r="F209" s="51" t="s">
        <v>19</v>
      </c>
      <c r="G209" s="44">
        <f>'اسعار الخامات'!E7</f>
        <v>650</v>
      </c>
      <c r="H209" s="18">
        <f>0.35/40</f>
        <v>8.7499999999999991E-3</v>
      </c>
      <c r="I209" s="13">
        <v>0.05</v>
      </c>
      <c r="J209" s="58">
        <f>H209*G209+(I209*H209*G209)</f>
        <v>5.9718749999999989</v>
      </c>
      <c r="K209" s="54"/>
      <c r="L209" s="23"/>
    </row>
    <row r="210" spans="1:12" ht="21" x14ac:dyDescent="0.25">
      <c r="B210" s="59"/>
      <c r="C210" s="1188"/>
      <c r="D210" s="1190"/>
      <c r="E210" s="22" t="s">
        <v>21</v>
      </c>
      <c r="F210" s="51" t="s">
        <v>12</v>
      </c>
      <c r="G210" s="42">
        <f>'اسعار الخامات'!E9</f>
        <v>35</v>
      </c>
      <c r="H210" s="14">
        <f>1/40+(1/10)</f>
        <v>0.125</v>
      </c>
      <c r="I210" s="13">
        <v>0.1</v>
      </c>
      <c r="J210" s="58">
        <f>H210*G210+(I210*H210*G210)</f>
        <v>4.8125</v>
      </c>
      <c r="K210" s="54"/>
      <c r="L210" s="23"/>
    </row>
    <row r="211" spans="1:12" ht="21" x14ac:dyDescent="0.25">
      <c r="B211" s="59"/>
      <c r="C211" s="1188"/>
      <c r="D211" s="1191"/>
      <c r="E211" s="22" t="s">
        <v>15</v>
      </c>
      <c r="F211" s="51" t="s">
        <v>12</v>
      </c>
      <c r="G211" s="42">
        <f>'اسعار الخامات'!E12</f>
        <v>13</v>
      </c>
      <c r="H211" s="51">
        <f>1.75/40</f>
        <v>4.3749999999999997E-2</v>
      </c>
      <c r="I211" s="13">
        <v>0.1</v>
      </c>
      <c r="J211" s="58">
        <f>H211*G211+(I211*H211*G211)</f>
        <v>0.62562499999999999</v>
      </c>
      <c r="K211" s="54"/>
      <c r="L211" s="23"/>
    </row>
    <row r="212" spans="1:12" ht="21" x14ac:dyDescent="0.25">
      <c r="B212" s="59"/>
      <c r="C212" s="1189"/>
      <c r="D212" s="50" t="s">
        <v>11</v>
      </c>
      <c r="E212" s="22" t="s">
        <v>60</v>
      </c>
      <c r="F212" s="51" t="s">
        <v>45</v>
      </c>
      <c r="G212" s="52">
        <f>'اسعار المصنعيات'!D35</f>
        <v>6</v>
      </c>
      <c r="H212" s="51">
        <v>1</v>
      </c>
      <c r="I212" s="51">
        <v>0</v>
      </c>
      <c r="J212" s="58">
        <f>H212*G212</f>
        <v>6</v>
      </c>
      <c r="K212" s="54"/>
      <c r="L212" s="23"/>
    </row>
    <row r="213" spans="1:12" s="48" customFormat="1" ht="21" x14ac:dyDescent="0.25">
      <c r="A213" s="47"/>
      <c r="B213" s="59"/>
      <c r="C213" s="46"/>
      <c r="D213" s="50" t="s">
        <v>16</v>
      </c>
      <c r="E213" s="22" t="s">
        <v>300</v>
      </c>
      <c r="F213" s="51" t="s">
        <v>45</v>
      </c>
      <c r="G213" s="82">
        <v>0.5</v>
      </c>
      <c r="H213" s="51">
        <v>1</v>
      </c>
      <c r="I213" s="51">
        <v>0</v>
      </c>
      <c r="J213" s="58">
        <f>H213*G213+(I213*H213*G213)</f>
        <v>0.5</v>
      </c>
      <c r="K213" s="47"/>
      <c r="L213" s="47"/>
    </row>
    <row r="214" spans="1:12" ht="21" x14ac:dyDescent="0.25">
      <c r="B214" s="62"/>
      <c r="C214" s="1185" t="s">
        <v>13</v>
      </c>
      <c r="D214" s="1186"/>
      <c r="E214" s="1186"/>
      <c r="F214" s="1186"/>
      <c r="G214" s="1186"/>
      <c r="H214" s="1186"/>
      <c r="I214" s="1187"/>
      <c r="J214" s="61">
        <f>SUM(J208:J213)</f>
        <v>71.41</v>
      </c>
      <c r="K214" s="36">
        <f>+J214*1.25</f>
        <v>89.262499999999989</v>
      </c>
      <c r="L214" s="24">
        <f>K214/J214-1</f>
        <v>0.25</v>
      </c>
    </row>
    <row r="215" spans="1:12" ht="21" x14ac:dyDescent="0.25">
      <c r="B215" s="59">
        <v>11</v>
      </c>
      <c r="C215" s="1188" t="s">
        <v>219</v>
      </c>
      <c r="D215" s="1190" t="s">
        <v>14</v>
      </c>
      <c r="E215" s="22" t="s">
        <v>18</v>
      </c>
      <c r="F215" s="51" t="s">
        <v>19</v>
      </c>
      <c r="G215" s="44">
        <f>'اسعار الخامات'!E7</f>
        <v>650</v>
      </c>
      <c r="H215" s="18">
        <f>0.35/50</f>
        <v>6.9999999999999993E-3</v>
      </c>
      <c r="I215" s="13">
        <v>0.05</v>
      </c>
      <c r="J215" s="58">
        <f>H215*G215+(I215*H215*G215)</f>
        <v>4.7774999999999999</v>
      </c>
      <c r="K215" s="54"/>
      <c r="L215" s="23"/>
    </row>
    <row r="216" spans="1:12" ht="21" x14ac:dyDescent="0.25">
      <c r="B216" s="59"/>
      <c r="C216" s="1188"/>
      <c r="D216" s="1190"/>
      <c r="E216" s="22" t="s">
        <v>21</v>
      </c>
      <c r="F216" s="51" t="s">
        <v>12</v>
      </c>
      <c r="G216" s="42">
        <f>'اسعار الخامات'!E9</f>
        <v>35</v>
      </c>
      <c r="H216" s="14">
        <f>((1/50)+(1/10))</f>
        <v>0.12000000000000001</v>
      </c>
      <c r="I216" s="13">
        <v>0.1</v>
      </c>
      <c r="J216" s="58">
        <f>H216*G216+(I216*H216*G216)</f>
        <v>4.62</v>
      </c>
      <c r="K216" s="54"/>
      <c r="L216" s="23"/>
    </row>
    <row r="217" spans="1:12" ht="21" x14ac:dyDescent="0.25">
      <c r="B217" s="59"/>
      <c r="C217" s="1188"/>
      <c r="D217" s="1190"/>
      <c r="E217" s="22" t="s">
        <v>56</v>
      </c>
      <c r="F217" s="51" t="s">
        <v>207</v>
      </c>
      <c r="G217" s="44">
        <f>'اسعار الخامات'!E18/20</f>
        <v>50</v>
      </c>
      <c r="H217" s="14">
        <f>1/500/2</f>
        <v>1E-3</v>
      </c>
      <c r="I217" s="13">
        <v>0.05</v>
      </c>
      <c r="J217" s="58">
        <f>H217*G217+(I217*H217*G217)</f>
        <v>5.2500000000000005E-2</v>
      </c>
      <c r="K217" s="54"/>
      <c r="L217" s="23"/>
    </row>
    <row r="218" spans="1:12" ht="21" x14ac:dyDescent="0.25">
      <c r="B218" s="59"/>
      <c r="C218" s="1188"/>
      <c r="D218" s="1191"/>
      <c r="E218" s="22" t="s">
        <v>15</v>
      </c>
      <c r="F218" s="51" t="s">
        <v>12</v>
      </c>
      <c r="G218" s="42">
        <f>'اسعار الخامات'!E12</f>
        <v>13</v>
      </c>
      <c r="H218" s="51">
        <f>1.75/50</f>
        <v>3.5000000000000003E-2</v>
      </c>
      <c r="I218" s="13">
        <v>0.1</v>
      </c>
      <c r="J218" s="58">
        <f>H218*G218+(I218*H218*G218)</f>
        <v>0.50050000000000006</v>
      </c>
      <c r="K218" s="54"/>
      <c r="L218" s="23"/>
    </row>
    <row r="219" spans="1:12" ht="21" x14ac:dyDescent="0.25">
      <c r="B219" s="59"/>
      <c r="C219" s="1189"/>
      <c r="D219" s="50" t="s">
        <v>11</v>
      </c>
      <c r="E219" s="22" t="s">
        <v>215</v>
      </c>
      <c r="F219" s="51" t="s">
        <v>45</v>
      </c>
      <c r="G219" s="52">
        <f>'اسعار المصنعيات'!D40</f>
        <v>75</v>
      </c>
      <c r="H219" s="51">
        <v>1</v>
      </c>
      <c r="I219" s="51">
        <v>0</v>
      </c>
      <c r="J219" s="58">
        <f>H219*G219</f>
        <v>75</v>
      </c>
      <c r="K219" s="54"/>
      <c r="L219" s="23"/>
    </row>
    <row r="220" spans="1:12" ht="21" x14ac:dyDescent="0.25">
      <c r="B220" s="62"/>
      <c r="C220" s="1185" t="s">
        <v>13</v>
      </c>
      <c r="D220" s="1186"/>
      <c r="E220" s="1186"/>
      <c r="F220" s="1186"/>
      <c r="G220" s="1186"/>
      <c r="H220" s="1186"/>
      <c r="I220" s="1187"/>
      <c r="J220" s="61">
        <f>SUM(J215:J219)</f>
        <v>84.950500000000005</v>
      </c>
      <c r="K220" s="36">
        <f>+J220*1.25</f>
        <v>106.18812500000001</v>
      </c>
      <c r="L220" s="24">
        <f>K220/J220-1</f>
        <v>0.25</v>
      </c>
    </row>
    <row r="221" spans="1:12" ht="21" x14ac:dyDescent="0.25">
      <c r="B221" s="59">
        <v>11</v>
      </c>
      <c r="C221" s="1188" t="s">
        <v>297</v>
      </c>
      <c r="D221" s="1190" t="s">
        <v>14</v>
      </c>
      <c r="E221" s="22" t="s">
        <v>18</v>
      </c>
      <c r="F221" s="51" t="s">
        <v>19</v>
      </c>
      <c r="G221" s="44">
        <f>'اسعار الخامات'!E7</f>
        <v>650</v>
      </c>
      <c r="H221" s="18">
        <f>0.35/40/10</f>
        <v>8.7499999999999991E-4</v>
      </c>
      <c r="I221" s="13">
        <v>0.05</v>
      </c>
      <c r="J221" s="58">
        <f>H221*G221+(I221*H221*G221)</f>
        <v>0.59718749999999998</v>
      </c>
      <c r="K221" s="54"/>
      <c r="L221" s="23"/>
    </row>
    <row r="222" spans="1:12" ht="21" x14ac:dyDescent="0.25">
      <c r="B222" s="59"/>
      <c r="C222" s="1188"/>
      <c r="D222" s="1190"/>
      <c r="E222" s="22" t="s">
        <v>21</v>
      </c>
      <c r="F222" s="51" t="s">
        <v>12</v>
      </c>
      <c r="G222" s="42">
        <f>'اسعار الخامات'!E9</f>
        <v>35</v>
      </c>
      <c r="H222" s="14">
        <f>1/40+(1/10)/10</f>
        <v>3.5000000000000003E-2</v>
      </c>
      <c r="I222" s="13">
        <v>0.1</v>
      </c>
      <c r="J222" s="58">
        <f>H222*G222+(I222*H222*G222)</f>
        <v>1.3475000000000001</v>
      </c>
      <c r="K222" s="54"/>
      <c r="L222" s="23"/>
    </row>
    <row r="223" spans="1:12" ht="21" x14ac:dyDescent="0.25">
      <c r="B223" s="59"/>
      <c r="C223" s="1188"/>
      <c r="D223" s="1190"/>
      <c r="E223" s="22" t="s">
        <v>56</v>
      </c>
      <c r="F223" s="51" t="s">
        <v>207</v>
      </c>
      <c r="G223" s="44">
        <f>'اسعار الخامات'!E18/20</f>
        <v>50</v>
      </c>
      <c r="H223" s="14">
        <f>1/40/10</f>
        <v>2.5000000000000001E-3</v>
      </c>
      <c r="I223" s="13">
        <v>0.05</v>
      </c>
      <c r="J223" s="58">
        <f>H223*G223+(I223*H223*G223)</f>
        <v>0.13125000000000001</v>
      </c>
      <c r="K223" s="54"/>
      <c r="L223" s="23"/>
    </row>
    <row r="224" spans="1:12" ht="21" x14ac:dyDescent="0.25">
      <c r="B224" s="59"/>
      <c r="C224" s="1188"/>
      <c r="D224" s="1191"/>
      <c r="E224" s="22" t="s">
        <v>15</v>
      </c>
      <c r="F224" s="51" t="s">
        <v>12</v>
      </c>
      <c r="G224" s="42">
        <f>'اسعار الخامات'!E12</f>
        <v>13</v>
      </c>
      <c r="H224" s="51">
        <f>1.75/40/10</f>
        <v>4.3749999999999995E-3</v>
      </c>
      <c r="I224" s="13">
        <v>0.1</v>
      </c>
      <c r="J224" s="58">
        <f>H224*G224+(I224*H224*G224)</f>
        <v>6.2562499999999993E-2</v>
      </c>
      <c r="K224" s="54"/>
      <c r="L224" s="23"/>
    </row>
    <row r="225" spans="1:15" ht="21" x14ac:dyDescent="0.25">
      <c r="B225" s="59"/>
      <c r="C225" s="1189"/>
      <c r="D225" s="50" t="s">
        <v>11</v>
      </c>
      <c r="E225" s="22" t="s">
        <v>215</v>
      </c>
      <c r="F225" s="51" t="s">
        <v>45</v>
      </c>
      <c r="G225" s="52">
        <f>'اسعار المصنعيات'!D41</f>
        <v>12</v>
      </c>
      <c r="H225" s="51">
        <v>1</v>
      </c>
      <c r="I225" s="51">
        <v>0</v>
      </c>
      <c r="J225" s="58">
        <f>H225*G225</f>
        <v>12</v>
      </c>
      <c r="K225" s="54"/>
      <c r="L225" s="23"/>
    </row>
    <row r="226" spans="1:15" ht="21" x14ac:dyDescent="0.25">
      <c r="B226" s="62"/>
      <c r="C226" s="1185" t="s">
        <v>13</v>
      </c>
      <c r="D226" s="1186"/>
      <c r="E226" s="1186"/>
      <c r="F226" s="1186"/>
      <c r="G226" s="1186"/>
      <c r="H226" s="1186"/>
      <c r="I226" s="1187"/>
      <c r="J226" s="61">
        <f>SUM(J221:J225)</f>
        <v>14.138500000000001</v>
      </c>
      <c r="K226" s="36">
        <f>+J226*1.25</f>
        <v>17.673124999999999</v>
      </c>
      <c r="L226" s="24">
        <f>K226/J226-1</f>
        <v>0.24999999999999978</v>
      </c>
    </row>
    <row r="227" spans="1:15" ht="21" x14ac:dyDescent="0.25">
      <c r="B227" s="59">
        <v>12</v>
      </c>
      <c r="C227" s="1188" t="s">
        <v>218</v>
      </c>
      <c r="D227" s="1190" t="s">
        <v>14</v>
      </c>
      <c r="E227" s="22" t="s">
        <v>18</v>
      </c>
      <c r="F227" s="51" t="s">
        <v>19</v>
      </c>
      <c r="G227" s="44">
        <f>'اسعار الخامات'!E7</f>
        <v>650</v>
      </c>
      <c r="H227" s="18">
        <f>0.35/50/2</f>
        <v>3.4999999999999996E-3</v>
      </c>
      <c r="I227" s="13">
        <v>0.05</v>
      </c>
      <c r="J227" s="58">
        <f>H227*G227+(I227*H227*G227)</f>
        <v>2.3887499999999999</v>
      </c>
      <c r="K227" s="54"/>
      <c r="L227" s="23"/>
    </row>
    <row r="228" spans="1:15" ht="21" x14ac:dyDescent="0.25">
      <c r="B228" s="59"/>
      <c r="C228" s="1188"/>
      <c r="D228" s="1190"/>
      <c r="E228" s="22" t="s">
        <v>21</v>
      </c>
      <c r="F228" s="51" t="s">
        <v>12</v>
      </c>
      <c r="G228" s="42">
        <f>'اسعار الخامات'!E9</f>
        <v>35</v>
      </c>
      <c r="H228" s="14">
        <f>1/50+(1/10)/2</f>
        <v>7.0000000000000007E-2</v>
      </c>
      <c r="I228" s="13">
        <v>0.1</v>
      </c>
      <c r="J228" s="58">
        <f>H228*G228+(I228*H228*G228)</f>
        <v>2.6950000000000003</v>
      </c>
      <c r="K228" s="54"/>
      <c r="L228" s="23"/>
    </row>
    <row r="229" spans="1:15" ht="21" x14ac:dyDescent="0.25">
      <c r="B229" s="59"/>
      <c r="C229" s="1188"/>
      <c r="D229" s="1190"/>
      <c r="E229" s="22" t="s">
        <v>56</v>
      </c>
      <c r="F229" s="51" t="s">
        <v>207</v>
      </c>
      <c r="G229" s="44">
        <f>'اسعار الخامات'!E18/20</f>
        <v>50</v>
      </c>
      <c r="H229" s="14">
        <f>1/500</f>
        <v>2E-3</v>
      </c>
      <c r="I229" s="13">
        <v>0.05</v>
      </c>
      <c r="J229" s="58">
        <f>H229*G229+(I229*H229*G229)</f>
        <v>0.10500000000000001</v>
      </c>
      <c r="K229" s="54"/>
      <c r="L229" s="23"/>
    </row>
    <row r="230" spans="1:15" ht="21" x14ac:dyDescent="0.25">
      <c r="B230" s="59"/>
      <c r="C230" s="1188"/>
      <c r="D230" s="1191"/>
      <c r="E230" s="22" t="s">
        <v>15</v>
      </c>
      <c r="F230" s="51" t="s">
        <v>12</v>
      </c>
      <c r="G230" s="42">
        <f>'اسعار الخامات'!E12</f>
        <v>13</v>
      </c>
      <c r="H230" s="51">
        <f>1.75/50/2</f>
        <v>1.7500000000000002E-2</v>
      </c>
      <c r="I230" s="13">
        <v>0.1</v>
      </c>
      <c r="J230" s="58">
        <f>H230*G230+(I230*H230*G230)</f>
        <v>0.25025000000000003</v>
      </c>
      <c r="K230" s="54"/>
      <c r="L230" s="23"/>
    </row>
    <row r="231" spans="1:15" ht="21" x14ac:dyDescent="0.25">
      <c r="B231" s="59"/>
      <c r="C231" s="1189"/>
      <c r="D231" s="50" t="s">
        <v>11</v>
      </c>
      <c r="E231" s="22" t="s">
        <v>215</v>
      </c>
      <c r="F231" s="51" t="s">
        <v>59</v>
      </c>
      <c r="G231" s="52">
        <f>'اسعار المصنعيات'!D42</f>
        <v>70</v>
      </c>
      <c r="H231" s="51">
        <v>1</v>
      </c>
      <c r="I231" s="51">
        <v>0</v>
      </c>
      <c r="J231" s="58">
        <f>H231*G231</f>
        <v>70</v>
      </c>
      <c r="K231" s="54"/>
      <c r="L231" s="23"/>
    </row>
    <row r="232" spans="1:15" ht="21" x14ac:dyDescent="0.25">
      <c r="B232" s="62"/>
      <c r="C232" s="1185" t="s">
        <v>13</v>
      </c>
      <c r="D232" s="1186"/>
      <c r="E232" s="1186"/>
      <c r="F232" s="1186"/>
      <c r="G232" s="1186"/>
      <c r="H232" s="1186"/>
      <c r="I232" s="1187"/>
      <c r="J232" s="61">
        <f>SUM(J227:J231)</f>
        <v>75.439000000000007</v>
      </c>
      <c r="K232" s="36">
        <f>+J232*1.25</f>
        <v>94.298750000000013</v>
      </c>
      <c r="L232" s="24">
        <f>K232/J232-1</f>
        <v>0.25</v>
      </c>
    </row>
    <row r="233" spans="1:15" ht="21" x14ac:dyDescent="0.25">
      <c r="B233" s="59">
        <v>11</v>
      </c>
      <c r="C233" s="1188" t="s">
        <v>376</v>
      </c>
      <c r="D233" s="1190" t="s">
        <v>14</v>
      </c>
      <c r="E233" s="22" t="s">
        <v>18</v>
      </c>
      <c r="F233" s="77" t="s">
        <v>19</v>
      </c>
      <c r="G233" s="44">
        <f>'اسعار الخامات'!E7</f>
        <v>650</v>
      </c>
      <c r="H233" s="18">
        <f>0.35/50</f>
        <v>6.9999999999999993E-3</v>
      </c>
      <c r="I233" s="13">
        <v>0.05</v>
      </c>
      <c r="J233" s="79">
        <f>H233*G233+(I233*H233*G233)</f>
        <v>4.7774999999999999</v>
      </c>
      <c r="K233" s="54"/>
      <c r="L233" s="23"/>
    </row>
    <row r="234" spans="1:15" ht="21" x14ac:dyDescent="0.25">
      <c r="B234" s="59"/>
      <c r="C234" s="1188"/>
      <c r="D234" s="1190"/>
      <c r="E234" s="22" t="s">
        <v>21</v>
      </c>
      <c r="F234" s="77" t="s">
        <v>12</v>
      </c>
      <c r="G234" s="42">
        <f>'اسعار الخامات'!E9</f>
        <v>35</v>
      </c>
      <c r="H234" s="14">
        <f>((1/50)+(1/10))</f>
        <v>0.12000000000000001</v>
      </c>
      <c r="I234" s="13">
        <v>0.1</v>
      </c>
      <c r="J234" s="79">
        <f>H234*G234+(I234*H234*G234)</f>
        <v>4.62</v>
      </c>
      <c r="K234" s="54"/>
      <c r="L234" s="23"/>
    </row>
    <row r="235" spans="1:15" ht="21" x14ac:dyDescent="0.25">
      <c r="B235" s="59"/>
      <c r="C235" s="1188"/>
      <c r="D235" s="1190"/>
      <c r="E235" s="22" t="s">
        <v>56</v>
      </c>
      <c r="F235" s="77" t="s">
        <v>207</v>
      </c>
      <c r="G235" s="44">
        <f>'اسعار الخامات'!E18/20</f>
        <v>50</v>
      </c>
      <c r="H235" s="14">
        <f>1/500/2</f>
        <v>1E-3</v>
      </c>
      <c r="I235" s="13">
        <v>0.05</v>
      </c>
      <c r="J235" s="79">
        <f>H235*G235+(I235*H235*G235)</f>
        <v>5.2500000000000005E-2</v>
      </c>
      <c r="K235" s="54"/>
      <c r="L235" s="23"/>
    </row>
    <row r="236" spans="1:15" ht="21" x14ac:dyDescent="0.25">
      <c r="B236" s="59"/>
      <c r="C236" s="1188"/>
      <c r="D236" s="1191"/>
      <c r="E236" s="22" t="s">
        <v>15</v>
      </c>
      <c r="F236" s="77" t="s">
        <v>12</v>
      </c>
      <c r="G236" s="42">
        <f>'اسعار الخامات'!E12</f>
        <v>13</v>
      </c>
      <c r="H236" s="77">
        <f>1.75/50</f>
        <v>3.5000000000000003E-2</v>
      </c>
      <c r="I236" s="13">
        <v>0.1</v>
      </c>
      <c r="J236" s="79">
        <f>H236*G236+(I236*H236*G236)</f>
        <v>0.50050000000000006</v>
      </c>
      <c r="K236" s="54"/>
      <c r="L236" s="23"/>
    </row>
    <row r="237" spans="1:15" ht="21" x14ac:dyDescent="0.25">
      <c r="B237" s="59"/>
      <c r="C237" s="1189"/>
      <c r="D237" s="76" t="s">
        <v>11</v>
      </c>
      <c r="E237" s="22" t="s">
        <v>215</v>
      </c>
      <c r="F237" s="77" t="s">
        <v>45</v>
      </c>
      <c r="G237" s="78">
        <f>'اسعار المصنعيات'!D37</f>
        <v>75</v>
      </c>
      <c r="H237" s="77">
        <v>1</v>
      </c>
      <c r="I237" s="77">
        <v>0</v>
      </c>
      <c r="J237" s="79">
        <f>H237*G237</f>
        <v>75</v>
      </c>
      <c r="K237" s="54"/>
      <c r="L237" s="23"/>
    </row>
    <row r="238" spans="1:15" ht="21" x14ac:dyDescent="0.25">
      <c r="B238" s="62"/>
      <c r="C238" s="1185" t="s">
        <v>13</v>
      </c>
      <c r="D238" s="1186"/>
      <c r="E238" s="1186"/>
      <c r="F238" s="1186"/>
      <c r="G238" s="1186"/>
      <c r="H238" s="1186"/>
      <c r="I238" s="1187"/>
      <c r="J238" s="61">
        <f>SUM(J233:J237)</f>
        <v>84.950500000000005</v>
      </c>
      <c r="K238" s="36">
        <f>+J238*1.25</f>
        <v>106.18812500000001</v>
      </c>
      <c r="L238" s="24">
        <f>K238/J238-1</f>
        <v>0.25</v>
      </c>
    </row>
    <row r="239" spans="1:15" ht="21" x14ac:dyDescent="0.25">
      <c r="A239" s="124"/>
      <c r="B239" s="125">
        <v>11</v>
      </c>
      <c r="C239" s="1253" t="s">
        <v>444</v>
      </c>
      <c r="D239" s="1255" t="s">
        <v>14</v>
      </c>
      <c r="E239" s="126" t="s">
        <v>18</v>
      </c>
      <c r="F239" s="33" t="s">
        <v>19</v>
      </c>
      <c r="G239" s="127">
        <f>'اسعار الخامات'!E7</f>
        <v>650</v>
      </c>
      <c r="H239" s="128">
        <v>1.0999999999999999E-2</v>
      </c>
      <c r="I239" s="129">
        <v>0.05</v>
      </c>
      <c r="J239" s="130">
        <f>H239*G239+(I239*H239*G239)</f>
        <v>7.5074999999999994</v>
      </c>
      <c r="K239" s="131"/>
      <c r="L239" s="132"/>
      <c r="M239" s="35"/>
      <c r="N239" s="35"/>
    </row>
    <row r="240" spans="1:15" ht="21" x14ac:dyDescent="0.25">
      <c r="A240" s="124"/>
      <c r="B240" s="125"/>
      <c r="C240" s="1253"/>
      <c r="D240" s="1255"/>
      <c r="E240" s="126" t="s">
        <v>21</v>
      </c>
      <c r="F240" s="33" t="s">
        <v>12</v>
      </c>
      <c r="G240" s="33">
        <f>'اسعار الخامات'!E9</f>
        <v>35</v>
      </c>
      <c r="H240" s="33">
        <v>3.5999999999999997E-2</v>
      </c>
      <c r="I240" s="129">
        <v>0.1</v>
      </c>
      <c r="J240" s="130">
        <f>H240*G240+(I240*H240*G240)</f>
        <v>1.3860000000000001</v>
      </c>
      <c r="K240" s="131"/>
      <c r="L240" s="132"/>
      <c r="M240" s="35"/>
      <c r="N240" s="35"/>
      <c r="O240" s="99">
        <v>0.04</v>
      </c>
    </row>
    <row r="241" spans="1:15" ht="21" x14ac:dyDescent="0.25">
      <c r="A241" s="124"/>
      <c r="B241" s="125"/>
      <c r="C241" s="1253"/>
      <c r="D241" s="1255"/>
      <c r="E241" s="126" t="s">
        <v>442</v>
      </c>
      <c r="F241" s="33"/>
      <c r="G241" s="127"/>
      <c r="H241" s="133"/>
      <c r="I241" s="129"/>
      <c r="J241" s="130">
        <v>3</v>
      </c>
      <c r="K241" s="131"/>
      <c r="L241" s="132"/>
      <c r="M241" s="35"/>
      <c r="N241" s="35"/>
      <c r="O241" s="99">
        <v>3.5999999999999997E-2</v>
      </c>
    </row>
    <row r="242" spans="1:15" ht="21" x14ac:dyDescent="0.25">
      <c r="A242" s="124"/>
      <c r="B242" s="125"/>
      <c r="C242" s="1253"/>
      <c r="D242" s="1256"/>
      <c r="E242" s="126" t="s">
        <v>15</v>
      </c>
      <c r="F242" s="33" t="s">
        <v>12</v>
      </c>
      <c r="G242" s="33">
        <f>'اسعار الخامات'!E20</f>
        <v>380</v>
      </c>
      <c r="H242" s="33">
        <f>1.75/50</f>
        <v>3.5000000000000003E-2</v>
      </c>
      <c r="I242" s="129">
        <v>0.1</v>
      </c>
      <c r="J242" s="130">
        <f>H242*G242+(I242*H242*G242)</f>
        <v>14.63</v>
      </c>
      <c r="K242" s="131"/>
      <c r="L242" s="132"/>
      <c r="M242" s="35"/>
      <c r="N242" s="35"/>
    </row>
    <row r="243" spans="1:15" ht="21" x14ac:dyDescent="0.25">
      <c r="A243" s="124"/>
      <c r="B243" s="125"/>
      <c r="C243" s="1253"/>
      <c r="D243" s="134"/>
      <c r="E243" s="126" t="s">
        <v>446</v>
      </c>
      <c r="F243" s="33" t="s">
        <v>45</v>
      </c>
      <c r="G243" s="33"/>
      <c r="H243" s="33"/>
      <c r="I243" s="129"/>
      <c r="J243" s="130">
        <v>2.7</v>
      </c>
      <c r="K243" s="131"/>
      <c r="L243" s="132"/>
      <c r="M243" s="35"/>
      <c r="N243" s="35"/>
    </row>
    <row r="244" spans="1:15" ht="21" x14ac:dyDescent="0.25">
      <c r="A244" s="124"/>
      <c r="B244" s="125"/>
      <c r="C244" s="1254"/>
      <c r="D244" s="126" t="s">
        <v>11</v>
      </c>
      <c r="E244" s="126" t="s">
        <v>445</v>
      </c>
      <c r="F244" s="33" t="s">
        <v>45</v>
      </c>
      <c r="G244" s="33">
        <v>210</v>
      </c>
      <c r="H244" s="33">
        <v>1</v>
      </c>
      <c r="I244" s="33">
        <v>0</v>
      </c>
      <c r="J244" s="130">
        <f>H244*G244</f>
        <v>210</v>
      </c>
      <c r="K244" s="131"/>
      <c r="L244" s="132"/>
      <c r="M244" s="35"/>
      <c r="N244" s="35"/>
    </row>
    <row r="245" spans="1:15" ht="21" x14ac:dyDescent="0.25">
      <c r="A245" s="124"/>
      <c r="B245" s="125"/>
      <c r="C245" s="1257" t="s">
        <v>13</v>
      </c>
      <c r="D245" s="1258"/>
      <c r="E245" s="1258"/>
      <c r="F245" s="1258"/>
      <c r="G245" s="1258"/>
      <c r="H245" s="1258"/>
      <c r="I245" s="1259"/>
      <c r="J245" s="130">
        <f>SUM(J239:J244)</f>
        <v>239.2235</v>
      </c>
      <c r="K245" s="135">
        <f>+J245*1.25</f>
        <v>299.02937500000002</v>
      </c>
      <c r="L245" s="136">
        <f>K245/J245-1</f>
        <v>0.25</v>
      </c>
      <c r="M245" s="137">
        <v>0.75</v>
      </c>
      <c r="N245" s="137">
        <f>J245/M245</f>
        <v>318.96466666666669</v>
      </c>
    </row>
    <row r="246" spans="1:15" ht="21" x14ac:dyDescent="0.25">
      <c r="B246" s="59">
        <v>11</v>
      </c>
      <c r="C246" s="1188" t="s">
        <v>378</v>
      </c>
      <c r="D246" s="1190" t="s">
        <v>14</v>
      </c>
      <c r="E246" s="22" t="s">
        <v>18</v>
      </c>
      <c r="F246" s="77" t="s">
        <v>19</v>
      </c>
      <c r="G246" s="44">
        <f t="shared" ref="G246:G249" si="19">G233</f>
        <v>650</v>
      </c>
      <c r="H246" s="18">
        <f>0.35/40/10</f>
        <v>8.7499999999999991E-4</v>
      </c>
      <c r="I246" s="13">
        <v>0.05</v>
      </c>
      <c r="J246" s="79">
        <f>H246*G246+(I246*H246*G246)</f>
        <v>0.59718749999999998</v>
      </c>
      <c r="K246" s="54"/>
      <c r="L246" s="23"/>
    </row>
    <row r="247" spans="1:15" ht="21" x14ac:dyDescent="0.25">
      <c r="B247" s="59"/>
      <c r="C247" s="1188"/>
      <c r="D247" s="1190"/>
      <c r="E247" s="22" t="s">
        <v>21</v>
      </c>
      <c r="F247" s="77" t="s">
        <v>12</v>
      </c>
      <c r="G247" s="42">
        <f t="shared" si="19"/>
        <v>35</v>
      </c>
      <c r="H247" s="14">
        <f>1/40+(1/10)/10</f>
        <v>3.5000000000000003E-2</v>
      </c>
      <c r="I247" s="13">
        <v>0.1</v>
      </c>
      <c r="J247" s="79">
        <f>H247*G247+(I247*H247*G247)</f>
        <v>1.3475000000000001</v>
      </c>
      <c r="K247" s="54"/>
      <c r="L247" s="23"/>
    </row>
    <row r="248" spans="1:15" ht="21" x14ac:dyDescent="0.25">
      <c r="B248" s="59"/>
      <c r="C248" s="1188"/>
      <c r="D248" s="1190"/>
      <c r="E248" s="22" t="s">
        <v>56</v>
      </c>
      <c r="F248" s="77" t="s">
        <v>207</v>
      </c>
      <c r="G248" s="44">
        <f t="shared" si="19"/>
        <v>50</v>
      </c>
      <c r="H248" s="14">
        <f>1/40/10</f>
        <v>2.5000000000000001E-3</v>
      </c>
      <c r="I248" s="13">
        <v>0.05</v>
      </c>
      <c r="J248" s="79">
        <f>H248*G248+(I248*H248*G248)</f>
        <v>0.13125000000000001</v>
      </c>
      <c r="K248" s="54"/>
      <c r="L248" s="23"/>
    </row>
    <row r="249" spans="1:15" ht="21" x14ac:dyDescent="0.25">
      <c r="B249" s="59"/>
      <c r="C249" s="1188"/>
      <c r="D249" s="1191"/>
      <c r="E249" s="22" t="s">
        <v>15</v>
      </c>
      <c r="F249" s="77" t="s">
        <v>12</v>
      </c>
      <c r="G249" s="42">
        <f t="shared" si="19"/>
        <v>13</v>
      </c>
      <c r="H249" s="77">
        <f>1.75/40/10</f>
        <v>4.3749999999999995E-3</v>
      </c>
      <c r="I249" s="13">
        <v>0.1</v>
      </c>
      <c r="J249" s="79">
        <f>H249*G249+(I249*H249*G249)</f>
        <v>6.2562499999999993E-2</v>
      </c>
      <c r="K249" s="54"/>
      <c r="L249" s="23"/>
    </row>
    <row r="250" spans="1:15" ht="21" x14ac:dyDescent="0.25">
      <c r="B250" s="59"/>
      <c r="C250" s="1189"/>
      <c r="D250" s="76" t="s">
        <v>11</v>
      </c>
      <c r="E250" s="22" t="s">
        <v>215</v>
      </c>
      <c r="F250" s="77" t="s">
        <v>45</v>
      </c>
      <c r="G250" s="78">
        <f>'اسعار المصنعيات'!D38</f>
        <v>10</v>
      </c>
      <c r="H250" s="77">
        <v>1</v>
      </c>
      <c r="I250" s="77">
        <v>0</v>
      </c>
      <c r="J250" s="79">
        <f>H250*G250</f>
        <v>10</v>
      </c>
      <c r="K250" s="54"/>
      <c r="L250" s="23"/>
    </row>
    <row r="251" spans="1:15" ht="21" x14ac:dyDescent="0.25">
      <c r="B251" s="62"/>
      <c r="C251" s="1185" t="s">
        <v>13</v>
      </c>
      <c r="D251" s="1186"/>
      <c r="E251" s="1186"/>
      <c r="F251" s="1186"/>
      <c r="G251" s="1186"/>
      <c r="H251" s="1186"/>
      <c r="I251" s="1187"/>
      <c r="J251" s="61">
        <f>SUM(J246:J250)</f>
        <v>12.138500000000001</v>
      </c>
      <c r="K251" s="36">
        <f>+J251*1.25</f>
        <v>15.173125000000001</v>
      </c>
      <c r="L251" s="24">
        <f>K251/J251-1</f>
        <v>0.25</v>
      </c>
    </row>
    <row r="252" spans="1:15" ht="21" x14ac:dyDescent="0.25">
      <c r="B252" s="59">
        <v>12</v>
      </c>
      <c r="C252" s="1188" t="s">
        <v>377</v>
      </c>
      <c r="D252" s="1190" t="s">
        <v>14</v>
      </c>
      <c r="E252" s="22" t="s">
        <v>18</v>
      </c>
      <c r="F252" s="77" t="s">
        <v>19</v>
      </c>
      <c r="G252" s="44">
        <f t="shared" ref="G252:G255" si="20">G233</f>
        <v>650</v>
      </c>
      <c r="H252" s="18">
        <f>0.35/50/2</f>
        <v>3.4999999999999996E-3</v>
      </c>
      <c r="I252" s="13">
        <v>0.05</v>
      </c>
      <c r="J252" s="79">
        <f>H252*G252+(I252*H252*G252)</f>
        <v>2.3887499999999999</v>
      </c>
      <c r="K252" s="54"/>
      <c r="L252" s="23"/>
    </row>
    <row r="253" spans="1:15" ht="21" x14ac:dyDescent="0.25">
      <c r="B253" s="59"/>
      <c r="C253" s="1188"/>
      <c r="D253" s="1190"/>
      <c r="E253" s="22" t="s">
        <v>21</v>
      </c>
      <c r="F253" s="77" t="s">
        <v>12</v>
      </c>
      <c r="G253" s="42">
        <f t="shared" si="20"/>
        <v>35</v>
      </c>
      <c r="H253" s="14">
        <f>1/50+(1/10)/2</f>
        <v>7.0000000000000007E-2</v>
      </c>
      <c r="I253" s="13">
        <v>0.1</v>
      </c>
      <c r="J253" s="79">
        <f>H253*G253+(I253*H253*G253)</f>
        <v>2.6950000000000003</v>
      </c>
      <c r="K253" s="54"/>
      <c r="L253" s="23"/>
    </row>
    <row r="254" spans="1:15" ht="21" x14ac:dyDescent="0.25">
      <c r="B254" s="59"/>
      <c r="C254" s="1188"/>
      <c r="D254" s="1190"/>
      <c r="E254" s="22" t="s">
        <v>56</v>
      </c>
      <c r="F254" s="77" t="s">
        <v>207</v>
      </c>
      <c r="G254" s="44">
        <f t="shared" si="20"/>
        <v>50</v>
      </c>
      <c r="H254" s="14">
        <f>1/500</f>
        <v>2E-3</v>
      </c>
      <c r="I254" s="13">
        <v>0.05</v>
      </c>
      <c r="J254" s="79">
        <f>H254*G254+(I254*H254*G254)</f>
        <v>0.10500000000000001</v>
      </c>
      <c r="K254" s="54"/>
      <c r="L254" s="23"/>
    </row>
    <row r="255" spans="1:15" ht="21" x14ac:dyDescent="0.25">
      <c r="B255" s="59"/>
      <c r="C255" s="1188"/>
      <c r="D255" s="1191"/>
      <c r="E255" s="22" t="s">
        <v>15</v>
      </c>
      <c r="F255" s="77" t="s">
        <v>12</v>
      </c>
      <c r="G255" s="42">
        <f t="shared" si="20"/>
        <v>13</v>
      </c>
      <c r="H255" s="77">
        <f>1.75/50/2</f>
        <v>1.7500000000000002E-2</v>
      </c>
      <c r="I255" s="13">
        <v>0.1</v>
      </c>
      <c r="J255" s="79">
        <f>H255*G255+(I255*H255*G255)</f>
        <v>0.25025000000000003</v>
      </c>
      <c r="K255" s="54"/>
      <c r="L255" s="23"/>
    </row>
    <row r="256" spans="1:15" ht="21" x14ac:dyDescent="0.25">
      <c r="B256" s="59"/>
      <c r="C256" s="1189"/>
      <c r="D256" s="76" t="s">
        <v>11</v>
      </c>
      <c r="E256" s="22" t="s">
        <v>215</v>
      </c>
      <c r="F256" s="77" t="s">
        <v>59</v>
      </c>
      <c r="G256" s="78">
        <f>'اسعار المصنعيات'!D39</f>
        <v>55</v>
      </c>
      <c r="H256" s="77">
        <v>1</v>
      </c>
      <c r="I256" s="77">
        <v>0</v>
      </c>
      <c r="J256" s="79">
        <f>H256*G256</f>
        <v>55</v>
      </c>
      <c r="K256" s="54"/>
      <c r="L256" s="23"/>
    </row>
    <row r="257" spans="1:13" ht="21" x14ac:dyDescent="0.25">
      <c r="B257" s="62"/>
      <c r="C257" s="1185" t="s">
        <v>13</v>
      </c>
      <c r="D257" s="1186"/>
      <c r="E257" s="1186"/>
      <c r="F257" s="1186"/>
      <c r="G257" s="1186"/>
      <c r="H257" s="1186"/>
      <c r="I257" s="1187"/>
      <c r="J257" s="61">
        <f>SUM(J252:J256)</f>
        <v>60.439</v>
      </c>
      <c r="K257" s="36">
        <f>+J257*1.25</f>
        <v>75.548749999999998</v>
      </c>
      <c r="L257" s="24">
        <f>K257/J257-1</f>
        <v>0.25</v>
      </c>
    </row>
    <row r="258" spans="1:13" ht="21" x14ac:dyDescent="0.25">
      <c r="B258" s="59">
        <v>15</v>
      </c>
      <c r="C258" s="22" t="s">
        <v>63</v>
      </c>
      <c r="D258" s="1208" t="s">
        <v>14</v>
      </c>
      <c r="E258" s="22"/>
      <c r="F258" s="51"/>
      <c r="G258" s="16"/>
      <c r="H258" s="51"/>
      <c r="I258" s="13"/>
      <c r="J258" s="58"/>
      <c r="K258" s="54"/>
      <c r="L258" s="23"/>
    </row>
    <row r="259" spans="1:13" ht="21" x14ac:dyDescent="0.25">
      <c r="A259" s="32"/>
      <c r="B259" s="59"/>
      <c r="C259" s="22" t="s">
        <v>141</v>
      </c>
      <c r="D259" s="1208"/>
      <c r="E259" s="22"/>
      <c r="F259" s="51"/>
      <c r="G259" s="51"/>
      <c r="H259" s="51"/>
      <c r="I259" s="13"/>
      <c r="J259" s="58"/>
      <c r="K259" s="54"/>
      <c r="L259" s="23"/>
    </row>
    <row r="260" spans="1:13" ht="21" x14ac:dyDescent="0.25">
      <c r="A260" s="32"/>
      <c r="B260" s="59"/>
      <c r="C260" s="22"/>
      <c r="D260" s="50" t="s">
        <v>11</v>
      </c>
      <c r="E260" s="22"/>
      <c r="F260" s="51"/>
      <c r="G260" s="51"/>
      <c r="H260" s="51"/>
      <c r="I260" s="51"/>
      <c r="J260" s="58">
        <v>14</v>
      </c>
      <c r="K260" s="54"/>
      <c r="L260" s="23"/>
    </row>
    <row r="261" spans="1:13" ht="21" x14ac:dyDescent="0.25">
      <c r="A261" s="32"/>
      <c r="B261" s="62"/>
      <c r="C261" s="1214" t="s">
        <v>13</v>
      </c>
      <c r="D261" s="1215"/>
      <c r="E261" s="1215"/>
      <c r="F261" s="1215"/>
      <c r="G261" s="1215"/>
      <c r="H261" s="1215"/>
      <c r="I261" s="1216"/>
      <c r="J261" s="63">
        <f>SUM(J258:J260)</f>
        <v>14</v>
      </c>
      <c r="K261" s="36">
        <f>+J261*1.25</f>
        <v>17.5</v>
      </c>
      <c r="L261" s="24">
        <f>K261/J261-1</f>
        <v>0.25</v>
      </c>
    </row>
    <row r="262" spans="1:13" s="4" customFormat="1" ht="21" x14ac:dyDescent="0.25">
      <c r="A262" s="32"/>
      <c r="B262" s="64"/>
      <c r="C262" s="25"/>
      <c r="D262" s="25"/>
      <c r="E262" s="25"/>
      <c r="F262" s="25"/>
      <c r="G262" s="25"/>
      <c r="H262" s="25"/>
      <c r="I262" s="25"/>
      <c r="J262" s="65"/>
      <c r="K262" s="55"/>
      <c r="L262" s="26"/>
    </row>
    <row r="263" spans="1:13" ht="21" x14ac:dyDescent="0.25">
      <c r="A263" s="32"/>
      <c r="B263" s="59">
        <v>16</v>
      </c>
      <c r="C263" s="22" t="s">
        <v>184</v>
      </c>
      <c r="D263" s="1208" t="s">
        <v>14</v>
      </c>
      <c r="E263" s="22"/>
      <c r="F263" s="51"/>
      <c r="G263" s="1217">
        <v>36</v>
      </c>
      <c r="H263" s="1218"/>
      <c r="I263" s="1219"/>
      <c r="J263" s="58"/>
      <c r="K263" s="54"/>
      <c r="L263" s="23"/>
    </row>
    <row r="264" spans="1:13" ht="21" x14ac:dyDescent="0.25">
      <c r="A264" s="32"/>
      <c r="B264" s="59"/>
      <c r="C264" s="22" t="s">
        <v>185</v>
      </c>
      <c r="D264" s="1208"/>
      <c r="E264" s="22"/>
      <c r="F264" s="51"/>
      <c r="G264" s="1220"/>
      <c r="H264" s="1221"/>
      <c r="I264" s="1222"/>
      <c r="J264" s="58">
        <f>G263</f>
        <v>36</v>
      </c>
      <c r="K264" s="54"/>
      <c r="L264" s="23"/>
    </row>
    <row r="265" spans="1:13" ht="21" x14ac:dyDescent="0.25">
      <c r="A265" s="32"/>
      <c r="B265" s="59"/>
      <c r="C265" s="22"/>
      <c r="D265" s="1208"/>
      <c r="E265" s="22"/>
      <c r="F265" s="51"/>
      <c r="G265" s="1220"/>
      <c r="H265" s="1221"/>
      <c r="I265" s="1222"/>
      <c r="J265" s="58"/>
      <c r="K265" s="54"/>
      <c r="L265" s="23"/>
    </row>
    <row r="266" spans="1:13" ht="21" x14ac:dyDescent="0.25">
      <c r="A266" s="32"/>
      <c r="B266" s="59"/>
      <c r="C266" s="22"/>
      <c r="D266" s="50" t="s">
        <v>11</v>
      </c>
      <c r="E266" s="22"/>
      <c r="F266" s="51"/>
      <c r="G266" s="1223"/>
      <c r="H266" s="1224"/>
      <c r="I266" s="1225"/>
      <c r="J266" s="58"/>
      <c r="K266" s="54"/>
      <c r="L266" s="23"/>
    </row>
    <row r="267" spans="1:13" ht="49.5" customHeight="1" x14ac:dyDescent="0.25">
      <c r="A267" s="32"/>
      <c r="B267" s="62"/>
      <c r="C267" s="1214" t="s">
        <v>13</v>
      </c>
      <c r="D267" s="1215"/>
      <c r="E267" s="1215"/>
      <c r="F267" s="1215"/>
      <c r="G267" s="1215"/>
      <c r="H267" s="1215"/>
      <c r="I267" s="1216"/>
      <c r="J267" s="63">
        <f>SUM(J263:J266)</f>
        <v>36</v>
      </c>
      <c r="K267" s="36">
        <f>+J267*1.25</f>
        <v>45</v>
      </c>
      <c r="L267" s="24">
        <f>K267/J267-1</f>
        <v>0.25</v>
      </c>
      <c r="M267" s="2">
        <f>60*20/7</f>
        <v>171.42857142857142</v>
      </c>
    </row>
    <row r="268" spans="1:13" ht="21" x14ac:dyDescent="0.25">
      <c r="A268" s="32"/>
      <c r="B268" s="59">
        <v>17</v>
      </c>
      <c r="C268" s="22" t="s">
        <v>144</v>
      </c>
      <c r="D268" s="1208" t="s">
        <v>145</v>
      </c>
      <c r="E268" s="22"/>
      <c r="F268" s="51"/>
      <c r="G268" s="16"/>
      <c r="H268" s="51"/>
      <c r="I268" s="13"/>
      <c r="J268" s="58"/>
      <c r="K268" s="54"/>
      <c r="L268" s="23"/>
    </row>
    <row r="269" spans="1:13" ht="21" x14ac:dyDescent="0.25">
      <c r="A269" s="32"/>
      <c r="B269" s="59"/>
      <c r="C269" s="22"/>
      <c r="D269" s="1208"/>
      <c r="E269" s="22"/>
      <c r="F269" s="51"/>
      <c r="G269" s="16"/>
      <c r="H269" s="51"/>
      <c r="I269" s="13"/>
      <c r="J269" s="58"/>
      <c r="K269" s="54"/>
      <c r="L269" s="23"/>
    </row>
    <row r="270" spans="1:13" ht="21" x14ac:dyDescent="0.25">
      <c r="A270" s="32"/>
      <c r="B270" s="59"/>
      <c r="C270" s="22"/>
      <c r="D270" s="1208"/>
      <c r="E270" s="22"/>
      <c r="F270" s="51"/>
      <c r="G270" s="51"/>
      <c r="H270" s="51"/>
      <c r="I270" s="13"/>
      <c r="J270" s="58"/>
      <c r="K270" s="54"/>
      <c r="L270" s="23"/>
    </row>
    <row r="271" spans="1:13" ht="21" x14ac:dyDescent="0.25">
      <c r="A271" s="32"/>
      <c r="B271" s="59"/>
      <c r="C271" s="22"/>
      <c r="D271" s="1208"/>
      <c r="E271" s="22"/>
      <c r="F271" s="51"/>
      <c r="G271" s="51"/>
      <c r="H271" s="51"/>
      <c r="I271" s="51"/>
      <c r="J271" s="58">
        <v>270</v>
      </c>
      <c r="K271" s="54"/>
      <c r="L271" s="23"/>
    </row>
    <row r="272" spans="1:13" ht="49.5" customHeight="1" x14ac:dyDescent="0.25">
      <c r="A272" s="32"/>
      <c r="B272" s="62"/>
      <c r="C272" s="1214" t="s">
        <v>13</v>
      </c>
      <c r="D272" s="1215"/>
      <c r="E272" s="1215"/>
      <c r="F272" s="1215"/>
      <c r="G272" s="1215"/>
      <c r="H272" s="1215"/>
      <c r="I272" s="1216"/>
      <c r="J272" s="63">
        <f>SUM(J268:J271)</f>
        <v>270</v>
      </c>
      <c r="K272" s="36">
        <f>+J272*1.25</f>
        <v>337.5</v>
      </c>
      <c r="L272" s="24">
        <f>K272/J272-1</f>
        <v>0.25</v>
      </c>
      <c r="M272" s="2">
        <f>60*20/7</f>
        <v>171.42857142857142</v>
      </c>
    </row>
    <row r="273" spans="1:13" ht="21" x14ac:dyDescent="0.25">
      <c r="A273" s="32"/>
      <c r="B273" s="59">
        <v>18</v>
      </c>
      <c r="C273" s="22" t="s">
        <v>142</v>
      </c>
      <c r="D273" s="1208" t="s">
        <v>145</v>
      </c>
      <c r="E273" s="22"/>
      <c r="F273" s="51"/>
      <c r="G273" s="16"/>
      <c r="H273" s="51"/>
      <c r="I273" s="13"/>
      <c r="J273" s="58"/>
      <c r="K273" s="54"/>
      <c r="L273" s="23"/>
    </row>
    <row r="274" spans="1:13" ht="21" x14ac:dyDescent="0.25">
      <c r="A274" s="32"/>
      <c r="B274" s="59"/>
      <c r="C274" s="22"/>
      <c r="D274" s="1208"/>
      <c r="E274" s="22"/>
      <c r="F274" s="51"/>
      <c r="G274" s="16"/>
      <c r="H274" s="51"/>
      <c r="I274" s="13"/>
      <c r="J274" s="58"/>
      <c r="K274" s="54"/>
      <c r="L274" s="23"/>
    </row>
    <row r="275" spans="1:13" ht="21" x14ac:dyDescent="0.25">
      <c r="A275" s="32"/>
      <c r="B275" s="59"/>
      <c r="C275" s="22"/>
      <c r="D275" s="1208"/>
      <c r="E275" s="22"/>
      <c r="F275" s="51"/>
      <c r="G275" s="51"/>
      <c r="H275" s="51"/>
      <c r="I275" s="13"/>
      <c r="J275" s="58"/>
      <c r="K275" s="54"/>
      <c r="L275" s="23"/>
    </row>
    <row r="276" spans="1:13" ht="21" x14ac:dyDescent="0.25">
      <c r="A276" s="32"/>
      <c r="B276" s="59"/>
      <c r="C276" s="22"/>
      <c r="D276" s="1208"/>
      <c r="E276" s="22"/>
      <c r="F276" s="51"/>
      <c r="G276" s="51"/>
      <c r="H276" s="51"/>
      <c r="I276" s="51"/>
      <c r="J276" s="58">
        <v>475</v>
      </c>
      <c r="K276" s="54"/>
      <c r="L276" s="23"/>
    </row>
    <row r="277" spans="1:13" ht="26.25" customHeight="1" x14ac:dyDescent="0.25">
      <c r="A277" s="32"/>
      <c r="B277" s="62"/>
      <c r="C277" s="1214" t="s">
        <v>13</v>
      </c>
      <c r="D277" s="1215"/>
      <c r="E277" s="1215"/>
      <c r="F277" s="1215"/>
      <c r="G277" s="1215"/>
      <c r="H277" s="1215"/>
      <c r="I277" s="1216"/>
      <c r="J277" s="63">
        <f>SUM(J273:J276)</f>
        <v>475</v>
      </c>
      <c r="K277" s="36">
        <f>+J277*1.25</f>
        <v>593.75</v>
      </c>
      <c r="L277" s="24">
        <f>K277/J277-1</f>
        <v>0.25</v>
      </c>
      <c r="M277" s="2">
        <f>60*20/7</f>
        <v>171.42857142857142</v>
      </c>
    </row>
    <row r="278" spans="1:13" ht="21" x14ac:dyDescent="0.25">
      <c r="A278" s="32"/>
      <c r="B278" s="59">
        <v>19</v>
      </c>
      <c r="C278" s="22" t="s">
        <v>143</v>
      </c>
      <c r="D278" s="1208" t="s">
        <v>145</v>
      </c>
      <c r="E278" s="22"/>
      <c r="F278" s="51"/>
      <c r="G278" s="16"/>
      <c r="H278" s="51"/>
      <c r="I278" s="13"/>
      <c r="J278" s="58"/>
      <c r="K278" s="54"/>
      <c r="L278" s="23"/>
    </row>
    <row r="279" spans="1:13" ht="21" x14ac:dyDescent="0.25">
      <c r="A279" s="32"/>
      <c r="B279" s="59"/>
      <c r="C279" s="22"/>
      <c r="D279" s="1208"/>
      <c r="E279" s="22"/>
      <c r="F279" s="51"/>
      <c r="G279" s="16"/>
      <c r="H279" s="51"/>
      <c r="I279" s="13"/>
      <c r="J279" s="58"/>
      <c r="K279" s="54"/>
      <c r="L279" s="23"/>
    </row>
    <row r="280" spans="1:13" ht="21" x14ac:dyDescent="0.25">
      <c r="A280" s="32"/>
      <c r="B280" s="59"/>
      <c r="C280" s="22"/>
      <c r="D280" s="1208"/>
      <c r="E280" s="22"/>
      <c r="F280" s="51"/>
      <c r="G280" s="51"/>
      <c r="H280" s="51"/>
      <c r="I280" s="13"/>
      <c r="J280" s="58"/>
      <c r="K280" s="54"/>
      <c r="L280" s="23"/>
    </row>
    <row r="281" spans="1:13" ht="21" x14ac:dyDescent="0.25">
      <c r="A281" s="32"/>
      <c r="B281" s="59"/>
      <c r="C281" s="22"/>
      <c r="D281" s="1208"/>
      <c r="E281" s="22"/>
      <c r="F281" s="51"/>
      <c r="G281" s="51"/>
      <c r="H281" s="51"/>
      <c r="I281" s="51"/>
      <c r="J281" s="58">
        <v>525</v>
      </c>
      <c r="K281" s="54"/>
      <c r="L281" s="23"/>
    </row>
    <row r="282" spans="1:13" ht="27.75" customHeight="1" x14ac:dyDescent="0.25">
      <c r="A282" s="32"/>
      <c r="B282" s="62"/>
      <c r="C282" s="1214" t="s">
        <v>13</v>
      </c>
      <c r="D282" s="1215"/>
      <c r="E282" s="1215"/>
      <c r="F282" s="1215"/>
      <c r="G282" s="1215"/>
      <c r="H282" s="1215"/>
      <c r="I282" s="1216"/>
      <c r="J282" s="63">
        <v>525</v>
      </c>
      <c r="K282" s="36">
        <f>+J282*1.25</f>
        <v>656.25</v>
      </c>
      <c r="L282" s="24">
        <f>K282/J282-1</f>
        <v>0.25</v>
      </c>
      <c r="M282" s="2">
        <f>60*20/7</f>
        <v>171.42857142857142</v>
      </c>
    </row>
    <row r="283" spans="1:13" ht="21" x14ac:dyDescent="0.25">
      <c r="A283" s="32"/>
      <c r="B283" s="59">
        <v>20</v>
      </c>
      <c r="C283" s="22" t="s">
        <v>143</v>
      </c>
      <c r="D283" s="1208" t="s">
        <v>145</v>
      </c>
      <c r="E283" s="22"/>
      <c r="F283" s="51"/>
      <c r="G283" s="16"/>
      <c r="H283" s="51"/>
      <c r="I283" s="13"/>
      <c r="J283" s="58"/>
      <c r="K283" s="54"/>
      <c r="L283" s="23"/>
    </row>
    <row r="284" spans="1:13" ht="21" x14ac:dyDescent="0.25">
      <c r="A284" s="32"/>
      <c r="B284" s="59"/>
      <c r="C284" s="22" t="s">
        <v>146</v>
      </c>
      <c r="D284" s="1208"/>
      <c r="E284" s="22"/>
      <c r="F284" s="51"/>
      <c r="G284" s="16"/>
      <c r="H284" s="51"/>
      <c r="I284" s="13"/>
      <c r="J284" s="58"/>
      <c r="K284" s="54"/>
      <c r="L284" s="23"/>
    </row>
    <row r="285" spans="1:13" ht="21" x14ac:dyDescent="0.25">
      <c r="A285" s="32"/>
      <c r="B285" s="59"/>
      <c r="C285" s="22"/>
      <c r="D285" s="1208"/>
      <c r="E285" s="22"/>
      <c r="F285" s="51"/>
      <c r="G285" s="51"/>
      <c r="H285" s="51"/>
      <c r="I285" s="13"/>
      <c r="J285" s="58"/>
      <c r="K285" s="54"/>
      <c r="L285" s="23"/>
    </row>
    <row r="286" spans="1:13" ht="21" x14ac:dyDescent="0.25">
      <c r="A286" s="32"/>
      <c r="B286" s="59"/>
      <c r="C286" s="22"/>
      <c r="D286" s="1208"/>
      <c r="E286" s="22"/>
      <c r="F286" s="51"/>
      <c r="G286" s="51"/>
      <c r="H286" s="51"/>
      <c r="I286" s="51"/>
      <c r="J286" s="58">
        <v>600</v>
      </c>
      <c r="K286" s="54"/>
      <c r="L286" s="23"/>
    </row>
    <row r="287" spans="1:13" ht="19.5" customHeight="1" thickBot="1" x14ac:dyDescent="0.3">
      <c r="A287" s="32"/>
      <c r="B287" s="66"/>
      <c r="C287" s="1211" t="s">
        <v>13</v>
      </c>
      <c r="D287" s="1212"/>
      <c r="E287" s="1212"/>
      <c r="F287" s="1212"/>
      <c r="G287" s="1212"/>
      <c r="H287" s="1212"/>
      <c r="I287" s="1213"/>
      <c r="J287" s="67">
        <f>SUM(J283:J286)</f>
        <v>600</v>
      </c>
      <c r="K287" s="36">
        <f>+J287*1.25</f>
        <v>750</v>
      </c>
      <c r="L287" s="24">
        <f>K287/J287-1</f>
        <v>0.25</v>
      </c>
      <c r="M287" s="2">
        <f>60*20/7</f>
        <v>171.42857142857142</v>
      </c>
    </row>
    <row r="288" spans="1:13" ht="35.1" customHeight="1" x14ac:dyDescent="0.25">
      <c r="A288" s="32"/>
    </row>
  </sheetData>
  <mergeCells count="198">
    <mergeCell ref="C233:C237"/>
    <mergeCell ref="D233:D236"/>
    <mergeCell ref="C238:I238"/>
    <mergeCell ref="C246:C250"/>
    <mergeCell ref="D246:D249"/>
    <mergeCell ref="C251:I251"/>
    <mergeCell ref="F119:F121"/>
    <mergeCell ref="G119:G121"/>
    <mergeCell ref="H119:H121"/>
    <mergeCell ref="I119:I121"/>
    <mergeCell ref="C200:C205"/>
    <mergeCell ref="D200:D203"/>
    <mergeCell ref="C207:I207"/>
    <mergeCell ref="D184:D187"/>
    <mergeCell ref="C163:I163"/>
    <mergeCell ref="C252:C256"/>
    <mergeCell ref="D252:D255"/>
    <mergeCell ref="C257:I257"/>
    <mergeCell ref="C239:C244"/>
    <mergeCell ref="D239:D242"/>
    <mergeCell ref="C245:I245"/>
    <mergeCell ref="C184:C188"/>
    <mergeCell ref="C102:C111"/>
    <mergeCell ref="D102:D108"/>
    <mergeCell ref="D109:D111"/>
    <mergeCell ref="F109:F111"/>
    <mergeCell ref="G109:G111"/>
    <mergeCell ref="H109:H111"/>
    <mergeCell ref="I109:I111"/>
    <mergeCell ref="C183:I183"/>
    <mergeCell ref="C124:C130"/>
    <mergeCell ref="G127:G129"/>
    <mergeCell ref="H127:H129"/>
    <mergeCell ref="C131:I131"/>
    <mergeCell ref="I127:I129"/>
    <mergeCell ref="D127:D129"/>
    <mergeCell ref="C113:C121"/>
    <mergeCell ref="D113:D118"/>
    <mergeCell ref="D119:D121"/>
    <mergeCell ref="C112:I112"/>
    <mergeCell ref="J195:J197"/>
    <mergeCell ref="C191:C197"/>
    <mergeCell ref="D195:D196"/>
    <mergeCell ref="C143:C150"/>
    <mergeCell ref="D143:D147"/>
    <mergeCell ref="D148:D149"/>
    <mergeCell ref="F148:F150"/>
    <mergeCell ref="G148:G150"/>
    <mergeCell ref="H148:H150"/>
    <mergeCell ref="I148:I150"/>
    <mergeCell ref="J148:J150"/>
    <mergeCell ref="C154:C161"/>
    <mergeCell ref="C164:C171"/>
    <mergeCell ref="D164:D168"/>
    <mergeCell ref="D169:D170"/>
    <mergeCell ref="F169:F171"/>
    <mergeCell ref="G169:G171"/>
    <mergeCell ref="H169:H171"/>
    <mergeCell ref="C190:I190"/>
    <mergeCell ref="J127:J129"/>
    <mergeCell ref="F127:F129"/>
    <mergeCell ref="J137:J139"/>
    <mergeCell ref="C142:I142"/>
    <mergeCell ref="C38:C43"/>
    <mergeCell ref="D41:D42"/>
    <mergeCell ref="J9:J10"/>
    <mergeCell ref="D54:D56"/>
    <mergeCell ref="D59:D60"/>
    <mergeCell ref="C44:I44"/>
    <mergeCell ref="J109:J111"/>
    <mergeCell ref="C80:C82"/>
    <mergeCell ref="D80:D81"/>
    <mergeCell ref="C83:I83"/>
    <mergeCell ref="C90:I90"/>
    <mergeCell ref="G33:G34"/>
    <mergeCell ref="D38:D40"/>
    <mergeCell ref="D29:D32"/>
    <mergeCell ref="D33:D34"/>
    <mergeCell ref="C36:I36"/>
    <mergeCell ref="C54:C60"/>
    <mergeCell ref="C72:C74"/>
    <mergeCell ref="C45:C52"/>
    <mergeCell ref="D45:D47"/>
    <mergeCell ref="D49:D51"/>
    <mergeCell ref="C53:I53"/>
    <mergeCell ref="B37:J37"/>
    <mergeCell ref="C28:I28"/>
    <mergeCell ref="B1:J1"/>
    <mergeCell ref="B2:J2"/>
    <mergeCell ref="D5:D8"/>
    <mergeCell ref="D9:D10"/>
    <mergeCell ref="C12:I12"/>
    <mergeCell ref="G9:G10"/>
    <mergeCell ref="H9:H10"/>
    <mergeCell ref="I9:I10"/>
    <mergeCell ref="D3:E3"/>
    <mergeCell ref="B4:J4"/>
    <mergeCell ref="J33:J34"/>
    <mergeCell ref="D13:D16"/>
    <mergeCell ref="D17:D18"/>
    <mergeCell ref="G17:G18"/>
    <mergeCell ref="H17:H18"/>
    <mergeCell ref="I17:I18"/>
    <mergeCell ref="J17:J18"/>
    <mergeCell ref="C20:I20"/>
    <mergeCell ref="D21:D24"/>
    <mergeCell ref="D25:D26"/>
    <mergeCell ref="G25:G26"/>
    <mergeCell ref="H25:H26"/>
    <mergeCell ref="I25:I26"/>
    <mergeCell ref="J25:J26"/>
    <mergeCell ref="H33:H34"/>
    <mergeCell ref="I33:I34"/>
    <mergeCell ref="C61:I61"/>
    <mergeCell ref="C75:I75"/>
    <mergeCell ref="J98:J100"/>
    <mergeCell ref="D92:D97"/>
    <mergeCell ref="D98:D100"/>
    <mergeCell ref="F98:F100"/>
    <mergeCell ref="G98:G100"/>
    <mergeCell ref="H98:H100"/>
    <mergeCell ref="I98:I100"/>
    <mergeCell ref="D72:D73"/>
    <mergeCell ref="C79:I79"/>
    <mergeCell ref="C71:I71"/>
    <mergeCell ref="B91:J91"/>
    <mergeCell ref="C92:C100"/>
    <mergeCell ref="C62:C67"/>
    <mergeCell ref="D62:D64"/>
    <mergeCell ref="D66:D67"/>
    <mergeCell ref="C68:I68"/>
    <mergeCell ref="C84:C89"/>
    <mergeCell ref="D84:D88"/>
    <mergeCell ref="C76:C78"/>
    <mergeCell ref="D76:D77"/>
    <mergeCell ref="C287:I287"/>
    <mergeCell ref="C282:I282"/>
    <mergeCell ref="D268:D271"/>
    <mergeCell ref="D273:D276"/>
    <mergeCell ref="G263:I266"/>
    <mergeCell ref="C227:C231"/>
    <mergeCell ref="D227:D230"/>
    <mergeCell ref="C232:I232"/>
    <mergeCell ref="D191:D194"/>
    <mergeCell ref="F195:F197"/>
    <mergeCell ref="G195:G197"/>
    <mergeCell ref="H195:H197"/>
    <mergeCell ref="I195:I197"/>
    <mergeCell ref="D283:D286"/>
    <mergeCell ref="C272:I272"/>
    <mergeCell ref="C277:I277"/>
    <mergeCell ref="D278:D281"/>
    <mergeCell ref="C267:I267"/>
    <mergeCell ref="D263:D265"/>
    <mergeCell ref="C261:I261"/>
    <mergeCell ref="D258:D259"/>
    <mergeCell ref="C199:I199"/>
    <mergeCell ref="C220:I220"/>
    <mergeCell ref="C208:C212"/>
    <mergeCell ref="J179:J181"/>
    <mergeCell ref="J169:J171"/>
    <mergeCell ref="C173:I173"/>
    <mergeCell ref="C174:C181"/>
    <mergeCell ref="D174:D178"/>
    <mergeCell ref="D179:D180"/>
    <mergeCell ref="F179:F181"/>
    <mergeCell ref="G179:G181"/>
    <mergeCell ref="D137:D138"/>
    <mergeCell ref="F137:F139"/>
    <mergeCell ref="G137:G139"/>
    <mergeCell ref="H137:H139"/>
    <mergeCell ref="I137:I139"/>
    <mergeCell ref="H179:H181"/>
    <mergeCell ref="I179:I181"/>
    <mergeCell ref="J119:J121"/>
    <mergeCell ref="C122:I122"/>
    <mergeCell ref="C221:C225"/>
    <mergeCell ref="D221:D224"/>
    <mergeCell ref="C226:I226"/>
    <mergeCell ref="C69:C70"/>
    <mergeCell ref="C101:I101"/>
    <mergeCell ref="C132:C139"/>
    <mergeCell ref="D132:D136"/>
    <mergeCell ref="C153:I153"/>
    <mergeCell ref="I169:I171"/>
    <mergeCell ref="D154:D158"/>
    <mergeCell ref="I159:I161"/>
    <mergeCell ref="H159:H161"/>
    <mergeCell ref="G159:G161"/>
    <mergeCell ref="F159:F161"/>
    <mergeCell ref="D159:D160"/>
    <mergeCell ref="D208:D211"/>
    <mergeCell ref="B123:J123"/>
    <mergeCell ref="C215:C219"/>
    <mergeCell ref="D215:D218"/>
    <mergeCell ref="J159:J161"/>
    <mergeCell ref="D124:D126"/>
    <mergeCell ref="C214:I214"/>
  </mergeCells>
  <printOptions horizontalCentered="1" verticalCentered="1"/>
  <pageMargins left="0" right="0.23622047244094491" top="0" bottom="0" header="0.31496062992125984" footer="0.31496062992125984"/>
  <pageSetup paperSize="9" scale="85" orientation="landscape" r:id="rId1"/>
  <headerFooter>
    <oddFooter>&amp;L&amp;P&amp;Cتحليل اسعار بنود الاعمال مشروع امواج &amp;R&amp;D</oddFooter>
  </headerFooter>
  <rowBreaks count="4" manualBreakCount="4">
    <brk id="36" min="1" max="9" man="1"/>
    <brk id="90" min="1" max="9" man="1"/>
    <brk id="122" min="1" max="9" man="1"/>
    <brk id="173" min="1" max="9" man="1"/>
  </rowBreaks>
  <colBreaks count="1" manualBreakCount="1">
    <brk id="1" max="240" man="1"/>
  </colBreaks>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2:I37"/>
  <sheetViews>
    <sheetView rightToLeft="1" workbookViewId="0">
      <selection activeCell="K2" sqref="K2"/>
    </sheetView>
  </sheetViews>
  <sheetFormatPr defaultColWidth="9" defaultRowHeight="15" x14ac:dyDescent="0.25"/>
  <cols>
    <col min="1" max="16384" width="9" style="9"/>
  </cols>
  <sheetData>
    <row r="2" spans="1:9" ht="39.75" customHeight="1" x14ac:dyDescent="0.35">
      <c r="A2" s="1268" t="s">
        <v>158</v>
      </c>
      <c r="B2" s="1268"/>
      <c r="C2" s="1268"/>
      <c r="D2" s="1268"/>
      <c r="E2" s="1268"/>
      <c r="F2" s="1268"/>
      <c r="G2" s="1268"/>
      <c r="H2" s="1268"/>
      <c r="I2" s="1268"/>
    </row>
    <row r="3" spans="1:9" ht="21" x14ac:dyDescent="0.35">
      <c r="A3" s="10"/>
      <c r="B3" s="10"/>
      <c r="C3" s="10"/>
      <c r="D3" s="10"/>
      <c r="E3" s="10"/>
      <c r="F3" s="10"/>
      <c r="G3" s="10"/>
      <c r="H3" s="10"/>
      <c r="I3" s="10"/>
    </row>
    <row r="4" spans="1:9" ht="21" x14ac:dyDescent="0.35">
      <c r="A4" s="1265" t="s">
        <v>159</v>
      </c>
      <c r="B4" s="1265"/>
      <c r="C4" s="1265"/>
      <c r="D4" s="1265"/>
      <c r="E4" s="10"/>
      <c r="F4" s="10"/>
      <c r="G4" s="10"/>
      <c r="H4" s="10"/>
      <c r="I4" s="10"/>
    </row>
    <row r="5" spans="1:9" ht="21" x14ac:dyDescent="0.35">
      <c r="A5" s="1266" t="s">
        <v>160</v>
      </c>
      <c r="B5" s="1266"/>
      <c r="C5" s="1266"/>
      <c r="D5" s="1266"/>
      <c r="E5" s="1266"/>
      <c r="F5" s="1266"/>
      <c r="G5" s="1266"/>
      <c r="H5" s="1266"/>
      <c r="I5" s="1266"/>
    </row>
    <row r="6" spans="1:9" ht="21" x14ac:dyDescent="0.35">
      <c r="A6" s="1266" t="s">
        <v>161</v>
      </c>
      <c r="B6" s="1266"/>
      <c r="C6" s="1266"/>
      <c r="D6" s="1266"/>
      <c r="E6" s="1266"/>
      <c r="F6" s="1266"/>
      <c r="G6" s="1266"/>
      <c r="H6" s="1266"/>
      <c r="I6" s="1266"/>
    </row>
    <row r="7" spans="1:9" ht="21" x14ac:dyDescent="0.35">
      <c r="A7" s="1266" t="s">
        <v>162</v>
      </c>
      <c r="B7" s="1266"/>
      <c r="C7" s="1266"/>
      <c r="D7" s="1266"/>
      <c r="E7" s="1266"/>
      <c r="F7" s="1266"/>
      <c r="G7" s="1266"/>
      <c r="H7" s="1266"/>
      <c r="I7" s="1266"/>
    </row>
    <row r="8" spans="1:9" ht="21" x14ac:dyDescent="0.35">
      <c r="A8" s="10"/>
      <c r="B8" s="10"/>
      <c r="C8" s="10"/>
      <c r="D8" s="10" t="s">
        <v>163</v>
      </c>
      <c r="E8" s="1266" t="s">
        <v>164</v>
      </c>
      <c r="F8" s="1266"/>
      <c r="G8" s="1266"/>
      <c r="H8" s="1266"/>
      <c r="I8" s="1266"/>
    </row>
    <row r="9" spans="1:9" ht="21" x14ac:dyDescent="0.35">
      <c r="A9" s="1265" t="s">
        <v>165</v>
      </c>
      <c r="B9" s="1265"/>
      <c r="C9" s="1265"/>
      <c r="D9" s="1265"/>
      <c r="E9" s="1265"/>
      <c r="F9" s="1265"/>
      <c r="G9" s="1265"/>
      <c r="H9" s="1265"/>
      <c r="I9" s="1265"/>
    </row>
    <row r="10" spans="1:9" ht="21" x14ac:dyDescent="0.35">
      <c r="A10" s="1266" t="s">
        <v>175</v>
      </c>
      <c r="B10" s="1266"/>
      <c r="C10" s="1266"/>
      <c r="D10" s="1266"/>
      <c r="E10" s="1266"/>
      <c r="F10" s="1266"/>
      <c r="G10" s="1266"/>
      <c r="H10" s="1266"/>
      <c r="I10" s="1266"/>
    </row>
    <row r="11" spans="1:9" ht="21" x14ac:dyDescent="0.35">
      <c r="A11" s="1265" t="s">
        <v>166</v>
      </c>
      <c r="B11" s="1265"/>
      <c r="C11" s="1265"/>
      <c r="D11" s="1265"/>
      <c r="E11" s="1265"/>
      <c r="F11" s="1265"/>
      <c r="G11" s="1265"/>
      <c r="H11" s="1265"/>
      <c r="I11" s="1265"/>
    </row>
    <row r="12" spans="1:9" ht="21" x14ac:dyDescent="0.35">
      <c r="A12" s="1266" t="s">
        <v>176</v>
      </c>
      <c r="B12" s="1266"/>
      <c r="C12" s="1266"/>
      <c r="D12" s="1266"/>
      <c r="E12" s="1266"/>
      <c r="F12" s="1266"/>
      <c r="G12" s="1266"/>
      <c r="H12" s="1266"/>
      <c r="I12" s="1266"/>
    </row>
    <row r="13" spans="1:9" ht="21" x14ac:dyDescent="0.35">
      <c r="A13" s="1265" t="s">
        <v>167</v>
      </c>
      <c r="B13" s="1265"/>
      <c r="C13" s="1265"/>
      <c r="D13" s="1265"/>
      <c r="E13" s="1265"/>
      <c r="F13" s="1265"/>
      <c r="G13" s="1265"/>
      <c r="H13" s="1265"/>
      <c r="I13" s="1265"/>
    </row>
    <row r="14" spans="1:9" ht="21" x14ac:dyDescent="0.35">
      <c r="A14" s="1265" t="s">
        <v>168</v>
      </c>
      <c r="B14" s="1265"/>
      <c r="C14" s="1265"/>
      <c r="D14" s="1265"/>
      <c r="E14" s="1265"/>
      <c r="F14" s="1265">
        <f>552.86+464+156.65+600</f>
        <v>1773.51</v>
      </c>
      <c r="G14" s="1265"/>
      <c r="H14" s="1265"/>
      <c r="I14" s="1265"/>
    </row>
    <row r="15" spans="1:9" ht="21" x14ac:dyDescent="0.35">
      <c r="A15" s="1265" t="s">
        <v>169</v>
      </c>
      <c r="B15" s="1265"/>
      <c r="C15" s="1265"/>
      <c r="D15" s="1265"/>
      <c r="E15" s="1265"/>
      <c r="F15" s="1265">
        <f>F14*1.25</f>
        <v>2216.8874999999998</v>
      </c>
      <c r="G15" s="1265"/>
      <c r="H15" s="1265"/>
      <c r="I15" s="1265"/>
    </row>
    <row r="20" spans="1:9" ht="21" x14ac:dyDescent="0.35">
      <c r="A20" s="1267" t="s">
        <v>170</v>
      </c>
      <c r="B20" s="1267"/>
      <c r="C20" s="1267"/>
      <c r="D20" s="1267"/>
      <c r="E20" s="1267"/>
      <c r="F20" s="1267"/>
      <c r="G20" s="1267"/>
      <c r="H20" s="1267"/>
      <c r="I20" s="1267"/>
    </row>
    <row r="21" spans="1:9" ht="21" x14ac:dyDescent="0.35">
      <c r="A21" s="10"/>
      <c r="B21" s="10"/>
      <c r="C21" s="10"/>
      <c r="D21" s="10"/>
      <c r="E21" s="10"/>
      <c r="F21" s="10"/>
      <c r="G21" s="10"/>
      <c r="H21" s="10"/>
      <c r="I21" s="10"/>
    </row>
    <row r="22" spans="1:9" ht="21" x14ac:dyDescent="0.35">
      <c r="A22" s="1265" t="s">
        <v>159</v>
      </c>
      <c r="B22" s="1265"/>
      <c r="C22" s="1265"/>
      <c r="D22" s="1265"/>
      <c r="E22" s="10"/>
      <c r="F22" s="10"/>
      <c r="G22" s="10"/>
      <c r="H22" s="10"/>
      <c r="I22" s="10"/>
    </row>
    <row r="23" spans="1:9" ht="21" x14ac:dyDescent="0.35">
      <c r="A23" s="1266" t="s">
        <v>160</v>
      </c>
      <c r="B23" s="1266"/>
      <c r="C23" s="1266"/>
      <c r="D23" s="1266"/>
      <c r="E23" s="1266"/>
      <c r="F23" s="1266"/>
      <c r="G23" s="1266"/>
      <c r="H23" s="1266"/>
      <c r="I23" s="1266"/>
    </row>
    <row r="24" spans="1:9" ht="21" x14ac:dyDescent="0.35">
      <c r="A24" s="1266" t="s">
        <v>161</v>
      </c>
      <c r="B24" s="1266"/>
      <c r="C24" s="1266"/>
      <c r="D24" s="1266"/>
      <c r="E24" s="1266"/>
      <c r="F24" s="1266"/>
      <c r="G24" s="1266"/>
      <c r="H24" s="1266"/>
      <c r="I24" s="1266"/>
    </row>
    <row r="25" spans="1:9" ht="21" x14ac:dyDescent="0.35">
      <c r="A25" s="1266" t="s">
        <v>162</v>
      </c>
      <c r="B25" s="1266"/>
      <c r="C25" s="1266"/>
      <c r="D25" s="1266"/>
      <c r="E25" s="1266"/>
      <c r="F25" s="1266"/>
      <c r="G25" s="1266"/>
      <c r="H25" s="1266"/>
      <c r="I25" s="1266"/>
    </row>
    <row r="26" spans="1:9" ht="21" x14ac:dyDescent="0.35">
      <c r="A26" s="10"/>
      <c r="B26" s="10"/>
      <c r="C26" s="10"/>
      <c r="D26" s="10" t="s">
        <v>163</v>
      </c>
      <c r="E26" s="1266" t="s">
        <v>164</v>
      </c>
      <c r="F26" s="1266"/>
      <c r="G26" s="1266"/>
      <c r="H26" s="1266"/>
      <c r="I26" s="1266"/>
    </row>
    <row r="27" spans="1:9" ht="21" x14ac:dyDescent="0.35">
      <c r="A27" s="1265" t="s">
        <v>171</v>
      </c>
      <c r="B27" s="1265"/>
      <c r="C27" s="1265"/>
      <c r="D27" s="1265"/>
      <c r="E27" s="1265"/>
      <c r="F27" s="1265"/>
      <c r="G27" s="1265"/>
      <c r="H27" s="1265"/>
      <c r="I27" s="1265"/>
    </row>
    <row r="28" spans="1:9" ht="21" x14ac:dyDescent="0.35">
      <c r="A28" s="1266" t="s">
        <v>172</v>
      </c>
      <c r="B28" s="1266"/>
      <c r="C28" s="1266"/>
      <c r="D28" s="1266"/>
      <c r="E28" s="1266"/>
      <c r="F28" s="1266"/>
      <c r="G28" s="1266"/>
      <c r="H28" s="1266"/>
      <c r="I28" s="1266"/>
    </row>
    <row r="29" spans="1:9" ht="21" x14ac:dyDescent="0.35">
      <c r="A29" s="1265" t="s">
        <v>173</v>
      </c>
      <c r="B29" s="1265"/>
      <c r="C29" s="1265"/>
      <c r="D29" s="1265"/>
      <c r="E29" s="1265"/>
      <c r="F29" s="1265"/>
      <c r="G29" s="1265"/>
      <c r="H29" s="1265"/>
      <c r="I29" s="1265"/>
    </row>
    <row r="30" spans="1:9" ht="21" x14ac:dyDescent="0.35">
      <c r="A30" s="1266" t="s">
        <v>174</v>
      </c>
      <c r="B30" s="1266"/>
      <c r="C30" s="1266"/>
      <c r="D30" s="1266"/>
      <c r="E30" s="1266"/>
      <c r="F30" s="1266"/>
      <c r="G30" s="1266"/>
      <c r="H30" s="1266"/>
      <c r="I30" s="1266"/>
    </row>
    <row r="31" spans="1:9" ht="21" x14ac:dyDescent="0.35">
      <c r="A31" s="1265" t="s">
        <v>165</v>
      </c>
      <c r="B31" s="1265"/>
      <c r="C31" s="1265"/>
      <c r="D31" s="1265"/>
      <c r="E31" s="1265"/>
      <c r="F31" s="1265"/>
      <c r="G31" s="1265"/>
      <c r="H31" s="1265"/>
      <c r="I31" s="1265"/>
    </row>
    <row r="32" spans="1:9" ht="21" x14ac:dyDescent="0.35">
      <c r="A32" s="1266" t="s">
        <v>175</v>
      </c>
      <c r="B32" s="1266"/>
      <c r="C32" s="1266"/>
      <c r="D32" s="1266"/>
      <c r="E32" s="1266"/>
      <c r="F32" s="1266"/>
      <c r="G32" s="1266"/>
      <c r="H32" s="1266"/>
      <c r="I32" s="1266"/>
    </row>
    <row r="33" spans="1:9" ht="21" x14ac:dyDescent="0.35">
      <c r="A33" s="1265" t="s">
        <v>166</v>
      </c>
      <c r="B33" s="1265"/>
      <c r="C33" s="1265"/>
      <c r="D33" s="1265"/>
      <c r="E33" s="1265"/>
      <c r="F33" s="1265"/>
      <c r="G33" s="1265"/>
      <c r="H33" s="1265"/>
      <c r="I33" s="1265"/>
    </row>
    <row r="34" spans="1:9" ht="21" x14ac:dyDescent="0.35">
      <c r="A34" s="1266" t="s">
        <v>176</v>
      </c>
      <c r="B34" s="1266"/>
      <c r="C34" s="1266"/>
      <c r="D34" s="1266"/>
      <c r="E34" s="1266"/>
      <c r="F34" s="1266"/>
      <c r="G34" s="1266"/>
      <c r="H34" s="1266"/>
      <c r="I34" s="1266"/>
    </row>
    <row r="35" spans="1:9" ht="21" x14ac:dyDescent="0.35">
      <c r="A35" s="1265" t="s">
        <v>167</v>
      </c>
      <c r="B35" s="1265"/>
      <c r="C35" s="1265"/>
      <c r="D35" s="1265"/>
      <c r="E35" s="1265"/>
      <c r="F35" s="1265"/>
      <c r="G35" s="1265"/>
      <c r="H35" s="1265"/>
      <c r="I35" s="1265"/>
    </row>
    <row r="36" spans="1:9" ht="21" x14ac:dyDescent="0.35">
      <c r="A36" s="1265" t="s">
        <v>168</v>
      </c>
      <c r="B36" s="1265"/>
      <c r="C36" s="1265"/>
      <c r="D36" s="1265"/>
      <c r="E36" s="1265"/>
      <c r="F36" s="1265">
        <f>552.86+51.6+90.3+464+156.65+600</f>
        <v>1915.41</v>
      </c>
      <c r="G36" s="1265"/>
      <c r="H36" s="1265"/>
      <c r="I36" s="1265"/>
    </row>
    <row r="37" spans="1:9" ht="21" x14ac:dyDescent="0.35">
      <c r="A37" s="1265" t="s">
        <v>169</v>
      </c>
      <c r="B37" s="1265"/>
      <c r="C37" s="1265"/>
      <c r="D37" s="1265"/>
      <c r="E37" s="1265"/>
      <c r="F37" s="1265">
        <f>F36*1.25</f>
        <v>2394.2625000000003</v>
      </c>
      <c r="G37" s="1265"/>
      <c r="H37" s="1265"/>
      <c r="I37" s="1265"/>
    </row>
  </sheetData>
  <mergeCells count="34">
    <mergeCell ref="A14:E14"/>
    <mergeCell ref="F14:I14"/>
    <mergeCell ref="A2:I2"/>
    <mergeCell ref="A4:D4"/>
    <mergeCell ref="A5:I5"/>
    <mergeCell ref="A6:I6"/>
    <mergeCell ref="A7:I7"/>
    <mergeCell ref="E8:I8"/>
    <mergeCell ref="A9:I9"/>
    <mergeCell ref="A10:I10"/>
    <mergeCell ref="A11:I11"/>
    <mergeCell ref="A12:I12"/>
    <mergeCell ref="A13:I13"/>
    <mergeCell ref="A30:I30"/>
    <mergeCell ref="A15:E15"/>
    <mergeCell ref="F15:I15"/>
    <mergeCell ref="A20:I20"/>
    <mergeCell ref="A22:D22"/>
    <mergeCell ref="A23:I23"/>
    <mergeCell ref="A24:I24"/>
    <mergeCell ref="A25:I25"/>
    <mergeCell ref="E26:I26"/>
    <mergeCell ref="A27:I27"/>
    <mergeCell ref="A28:I28"/>
    <mergeCell ref="A29:I29"/>
    <mergeCell ref="A37:E37"/>
    <mergeCell ref="F37:I37"/>
    <mergeCell ref="A31:I31"/>
    <mergeCell ref="A32:I32"/>
    <mergeCell ref="A33:I33"/>
    <mergeCell ref="A34:I34"/>
    <mergeCell ref="A35:I35"/>
    <mergeCell ref="A36:E36"/>
    <mergeCell ref="F36:I36"/>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1:B239"/>
  <sheetViews>
    <sheetView rightToLeft="1" topLeftCell="A115" workbookViewId="0">
      <selection activeCell="B2" sqref="B2:B128"/>
    </sheetView>
  </sheetViews>
  <sheetFormatPr defaultColWidth="9" defaultRowHeight="15" x14ac:dyDescent="0.25"/>
  <cols>
    <col min="1" max="1" width="9" style="237"/>
    <col min="2" max="2" width="74.140625" style="237" customWidth="1"/>
    <col min="3" max="16384" width="9" style="237"/>
  </cols>
  <sheetData>
    <row r="1" spans="2:2" ht="15.75" thickBot="1" x14ac:dyDescent="0.3"/>
    <row r="2" spans="2:2" ht="33.75" customHeight="1" x14ac:dyDescent="0.25">
      <c r="B2" s="296" t="s">
        <v>978</v>
      </c>
    </row>
    <row r="3" spans="2:2" ht="54" x14ac:dyDescent="0.25">
      <c r="B3" s="291" t="s">
        <v>979</v>
      </c>
    </row>
    <row r="4" spans="2:2" ht="36" x14ac:dyDescent="0.25">
      <c r="B4" s="291" t="s">
        <v>980</v>
      </c>
    </row>
    <row r="5" spans="2:2" ht="18" x14ac:dyDescent="0.25">
      <c r="B5" s="291" t="s">
        <v>981</v>
      </c>
    </row>
    <row r="6" spans="2:2" ht="36" x14ac:dyDescent="0.25">
      <c r="B6" s="291" t="s">
        <v>982</v>
      </c>
    </row>
    <row r="7" spans="2:2" ht="18" x14ac:dyDescent="0.25">
      <c r="B7" s="291" t="s">
        <v>983</v>
      </c>
    </row>
    <row r="8" spans="2:2" ht="18" x14ac:dyDescent="0.25">
      <c r="B8" s="291" t="s">
        <v>984</v>
      </c>
    </row>
    <row r="9" spans="2:2" ht="36" x14ac:dyDescent="0.25">
      <c r="B9" s="291" t="s">
        <v>985</v>
      </c>
    </row>
    <row r="10" spans="2:2" ht="15.75" thickBot="1" x14ac:dyDescent="0.3">
      <c r="B10" s="290"/>
    </row>
    <row r="11" spans="2:2" ht="18.75" thickBot="1" x14ac:dyDescent="0.3">
      <c r="B11" s="296" t="s">
        <v>986</v>
      </c>
    </row>
    <row r="12" spans="2:2" ht="18.75" thickBot="1" x14ac:dyDescent="0.3">
      <c r="B12" s="297" t="s">
        <v>987</v>
      </c>
    </row>
    <row r="13" spans="2:2" ht="18" x14ac:dyDescent="0.25">
      <c r="B13" s="287" t="s">
        <v>988</v>
      </c>
    </row>
    <row r="14" spans="2:2" ht="18" x14ac:dyDescent="0.25">
      <c r="B14" s="289" t="s">
        <v>989</v>
      </c>
    </row>
    <row r="15" spans="2:2" ht="18.75" thickBot="1" x14ac:dyDescent="0.3">
      <c r="B15" s="289" t="s">
        <v>990</v>
      </c>
    </row>
    <row r="16" spans="2:2" ht="18" x14ac:dyDescent="0.25">
      <c r="B16" s="298" t="s">
        <v>991</v>
      </c>
    </row>
    <row r="17" spans="2:2" ht="18" x14ac:dyDescent="0.25">
      <c r="B17" s="289" t="s">
        <v>992</v>
      </c>
    </row>
    <row r="18" spans="2:2" ht="18" x14ac:dyDescent="0.25">
      <c r="B18" s="289" t="s">
        <v>993</v>
      </c>
    </row>
    <row r="19" spans="2:2" ht="18" x14ac:dyDescent="0.25">
      <c r="B19" s="299" t="s">
        <v>994</v>
      </c>
    </row>
    <row r="20" spans="2:2" ht="18" x14ac:dyDescent="0.25">
      <c r="B20" s="287"/>
    </row>
    <row r="21" spans="2:2" ht="15.75" thickBot="1" x14ac:dyDescent="0.3">
      <c r="B21" s="290"/>
    </row>
    <row r="22" spans="2:2" ht="18" x14ac:dyDescent="0.25">
      <c r="B22" s="296" t="s">
        <v>995</v>
      </c>
    </row>
    <row r="23" spans="2:2" ht="18" x14ac:dyDescent="0.25">
      <c r="B23" s="289" t="s">
        <v>996</v>
      </c>
    </row>
    <row r="24" spans="2:2" ht="18" x14ac:dyDescent="0.25">
      <c r="B24" s="289" t="s">
        <v>997</v>
      </c>
    </row>
    <row r="25" spans="2:2" ht="15.75" thickBot="1" x14ac:dyDescent="0.3">
      <c r="B25" s="290"/>
    </row>
    <row r="26" spans="2:2" ht="18" x14ac:dyDescent="0.25">
      <c r="B26" s="296" t="s">
        <v>998</v>
      </c>
    </row>
    <row r="27" spans="2:2" ht="18" x14ac:dyDescent="0.25">
      <c r="B27" s="289" t="s">
        <v>999</v>
      </c>
    </row>
    <row r="28" spans="2:2" ht="18" x14ac:dyDescent="0.25">
      <c r="B28" s="300" t="s">
        <v>1000</v>
      </c>
    </row>
    <row r="29" spans="2:2" ht="18" x14ac:dyDescent="0.25">
      <c r="B29" s="289" t="s">
        <v>1001</v>
      </c>
    </row>
    <row r="30" spans="2:2" ht="15.75" thickBot="1" x14ac:dyDescent="0.3">
      <c r="B30" s="290"/>
    </row>
    <row r="31" spans="2:2" ht="18" x14ac:dyDescent="0.25">
      <c r="B31" s="296" t="s">
        <v>1002</v>
      </c>
    </row>
    <row r="32" spans="2:2" ht="36" x14ac:dyDescent="0.25">
      <c r="B32" s="291" t="s">
        <v>1003</v>
      </c>
    </row>
    <row r="33" spans="2:2" ht="18" x14ac:dyDescent="0.25">
      <c r="B33" s="291" t="s">
        <v>1004</v>
      </c>
    </row>
    <row r="34" spans="2:2" ht="15.75" thickBot="1" x14ac:dyDescent="0.3">
      <c r="B34" s="290"/>
    </row>
    <row r="35" spans="2:2" ht="18.75" thickBot="1" x14ac:dyDescent="0.3">
      <c r="B35" s="292" t="s">
        <v>1005</v>
      </c>
    </row>
    <row r="36" spans="2:2" ht="18" x14ac:dyDescent="0.25">
      <c r="B36" s="302" t="s">
        <v>1006</v>
      </c>
    </row>
    <row r="37" spans="2:2" ht="54" x14ac:dyDescent="0.25">
      <c r="B37" s="301" t="s">
        <v>1007</v>
      </c>
    </row>
    <row r="38" spans="2:2" x14ac:dyDescent="0.25">
      <c r="B38" s="290"/>
    </row>
    <row r="39" spans="2:2" ht="18" x14ac:dyDescent="0.25">
      <c r="B39" s="287" t="s">
        <v>1008</v>
      </c>
    </row>
    <row r="40" spans="2:2" ht="18" x14ac:dyDescent="0.25">
      <c r="B40" s="293" t="s">
        <v>1009</v>
      </c>
    </row>
    <row r="41" spans="2:2" x14ac:dyDescent="0.25">
      <c r="B41" s="290"/>
    </row>
    <row r="42" spans="2:2" ht="18" x14ac:dyDescent="0.25">
      <c r="B42" s="287" t="s">
        <v>1010</v>
      </c>
    </row>
    <row r="43" spans="2:2" ht="18" x14ac:dyDescent="0.25">
      <c r="B43" s="287" t="s">
        <v>1011</v>
      </c>
    </row>
    <row r="44" spans="2:2" ht="15.75" thickBot="1" x14ac:dyDescent="0.3">
      <c r="B44" s="290"/>
    </row>
    <row r="45" spans="2:2" ht="18" x14ac:dyDescent="0.25">
      <c r="B45" s="296" t="s">
        <v>1012</v>
      </c>
    </row>
    <row r="46" spans="2:2" ht="18" x14ac:dyDescent="0.25">
      <c r="B46" s="299" t="s">
        <v>1013</v>
      </c>
    </row>
    <row r="47" spans="2:2" ht="18" x14ac:dyDescent="0.25">
      <c r="B47" s="299" t="s">
        <v>1014</v>
      </c>
    </row>
    <row r="48" spans="2:2" ht="18" x14ac:dyDescent="0.25">
      <c r="B48" s="299" t="s">
        <v>1015</v>
      </c>
    </row>
    <row r="49" spans="2:2" ht="18" x14ac:dyDescent="0.25">
      <c r="B49" s="299" t="s">
        <v>1016</v>
      </c>
    </row>
    <row r="50" spans="2:2" ht="18" x14ac:dyDescent="0.25">
      <c r="B50" s="299" t="s">
        <v>1017</v>
      </c>
    </row>
    <row r="51" spans="2:2" ht="18" x14ac:dyDescent="0.25">
      <c r="B51" s="299" t="s">
        <v>1018</v>
      </c>
    </row>
    <row r="52" spans="2:2" ht="18" x14ac:dyDescent="0.25">
      <c r="B52" s="299" t="s">
        <v>1019</v>
      </c>
    </row>
    <row r="53" spans="2:2" ht="18" x14ac:dyDescent="0.25">
      <c r="B53" s="299" t="s">
        <v>1020</v>
      </c>
    </row>
    <row r="54" spans="2:2" ht="18" x14ac:dyDescent="0.25">
      <c r="B54" s="299" t="s">
        <v>1021</v>
      </c>
    </row>
    <row r="55" spans="2:2" ht="18" x14ac:dyDescent="0.25">
      <c r="B55" s="299" t="s">
        <v>1022</v>
      </c>
    </row>
    <row r="56" spans="2:2" ht="18" x14ac:dyDescent="0.25">
      <c r="B56" s="299" t="s">
        <v>1023</v>
      </c>
    </row>
    <row r="57" spans="2:2" ht="18" x14ac:dyDescent="0.25">
      <c r="B57" s="299" t="s">
        <v>1024</v>
      </c>
    </row>
    <row r="58" spans="2:2" ht="18.75" thickBot="1" x14ac:dyDescent="0.3">
      <c r="B58" s="306"/>
    </row>
    <row r="59" spans="2:2" ht="18" x14ac:dyDescent="0.25">
      <c r="B59" s="340" t="s">
        <v>1025</v>
      </c>
    </row>
    <row r="60" spans="2:2" ht="18" x14ac:dyDescent="0.25">
      <c r="B60" s="341" t="s">
        <v>1026</v>
      </c>
    </row>
    <row r="61" spans="2:2" ht="18" x14ac:dyDescent="0.25">
      <c r="B61" s="341" t="s">
        <v>1027</v>
      </c>
    </row>
    <row r="62" spans="2:2" ht="18" x14ac:dyDescent="0.25">
      <c r="B62" s="341" t="s">
        <v>1028</v>
      </c>
    </row>
    <row r="63" spans="2:2" ht="18" x14ac:dyDescent="0.25">
      <c r="B63" s="341" t="s">
        <v>1029</v>
      </c>
    </row>
    <row r="64" spans="2:2" ht="18" x14ac:dyDescent="0.25">
      <c r="B64" s="341" t="s">
        <v>1030</v>
      </c>
    </row>
    <row r="65" spans="2:2" ht="15.75" thickBot="1" x14ac:dyDescent="0.3">
      <c r="B65" s="290"/>
    </row>
    <row r="66" spans="2:2" ht="18" x14ac:dyDescent="0.25">
      <c r="B66" s="296" t="s">
        <v>1031</v>
      </c>
    </row>
    <row r="67" spans="2:2" ht="36" x14ac:dyDescent="0.25">
      <c r="B67" s="291" t="s">
        <v>1032</v>
      </c>
    </row>
    <row r="68" spans="2:2" ht="18" x14ac:dyDescent="0.25">
      <c r="B68" s="291" t="s">
        <v>1033</v>
      </c>
    </row>
    <row r="69" spans="2:2" ht="18" x14ac:dyDescent="0.25">
      <c r="B69" s="291" t="s">
        <v>1034</v>
      </c>
    </row>
    <row r="70" spans="2:2" ht="18" x14ac:dyDescent="0.25">
      <c r="B70" s="291" t="s">
        <v>1035</v>
      </c>
    </row>
    <row r="71" spans="2:2" ht="18" x14ac:dyDescent="0.25">
      <c r="B71" s="291" t="s">
        <v>1036</v>
      </c>
    </row>
    <row r="72" spans="2:2" ht="36" x14ac:dyDescent="0.25">
      <c r="B72" s="291" t="s">
        <v>1037</v>
      </c>
    </row>
    <row r="73" spans="2:2" ht="18" x14ac:dyDescent="0.25">
      <c r="B73" s="291" t="s">
        <v>1038</v>
      </c>
    </row>
    <row r="74" spans="2:2" ht="18" x14ac:dyDescent="0.25">
      <c r="B74" s="301" t="s">
        <v>1039</v>
      </c>
    </row>
    <row r="75" spans="2:2" ht="18.75" thickBot="1" x14ac:dyDescent="0.3">
      <c r="B75" s="307"/>
    </row>
    <row r="76" spans="2:2" ht="18" x14ac:dyDescent="0.25">
      <c r="B76" s="296" t="s">
        <v>1040</v>
      </c>
    </row>
    <row r="77" spans="2:2" ht="18" x14ac:dyDescent="0.25">
      <c r="B77" s="291" t="s">
        <v>1041</v>
      </c>
    </row>
    <row r="78" spans="2:2" ht="36" x14ac:dyDescent="0.25">
      <c r="B78" s="291" t="s">
        <v>1042</v>
      </c>
    </row>
    <row r="79" spans="2:2" ht="18" x14ac:dyDescent="0.25">
      <c r="B79" s="291" t="s">
        <v>1043</v>
      </c>
    </row>
    <row r="80" spans="2:2" ht="18" x14ac:dyDescent="0.25">
      <c r="B80" s="291" t="s">
        <v>1044</v>
      </c>
    </row>
    <row r="81" spans="2:2" ht="18" x14ac:dyDescent="0.25">
      <c r="B81" s="291" t="s">
        <v>1045</v>
      </c>
    </row>
    <row r="82" spans="2:2" ht="18" x14ac:dyDescent="0.25">
      <c r="B82" s="291" t="s">
        <v>1046</v>
      </c>
    </row>
    <row r="83" spans="2:2" ht="18" x14ac:dyDescent="0.25">
      <c r="B83" s="291" t="s">
        <v>1047</v>
      </c>
    </row>
    <row r="84" spans="2:2" ht="18" x14ac:dyDescent="0.25">
      <c r="B84" s="301" t="s">
        <v>1048</v>
      </c>
    </row>
    <row r="85" spans="2:2" x14ac:dyDescent="0.25">
      <c r="B85" s="308"/>
    </row>
    <row r="86" spans="2:2" ht="18" x14ac:dyDescent="0.25">
      <c r="B86" s="291" t="s">
        <v>1049</v>
      </c>
    </row>
    <row r="87" spans="2:2" ht="18" x14ac:dyDescent="0.25">
      <c r="B87" s="291" t="s">
        <v>1050</v>
      </c>
    </row>
    <row r="88" spans="2:2" ht="18" x14ac:dyDescent="0.25">
      <c r="B88" s="291" t="s">
        <v>1051</v>
      </c>
    </row>
    <row r="89" spans="2:2" ht="18" x14ac:dyDescent="0.25">
      <c r="B89" s="291" t="s">
        <v>1052</v>
      </c>
    </row>
    <row r="90" spans="2:2" x14ac:dyDescent="0.25">
      <c r="B90" s="308"/>
    </row>
    <row r="91" spans="2:2" ht="18" x14ac:dyDescent="0.25">
      <c r="B91" s="291" t="s">
        <v>1053</v>
      </c>
    </row>
    <row r="92" spans="2:2" ht="18" x14ac:dyDescent="0.25">
      <c r="B92" s="291" t="s">
        <v>1054</v>
      </c>
    </row>
    <row r="93" spans="2:2" ht="18" x14ac:dyDescent="0.25">
      <c r="B93" s="291" t="s">
        <v>1055</v>
      </c>
    </row>
    <row r="94" spans="2:2" ht="18" x14ac:dyDescent="0.25">
      <c r="B94" s="291" t="s">
        <v>1056</v>
      </c>
    </row>
    <row r="95" spans="2:2" ht="18" x14ac:dyDescent="0.25">
      <c r="B95" s="291" t="s">
        <v>1057</v>
      </c>
    </row>
    <row r="96" spans="2:2" ht="18" x14ac:dyDescent="0.25">
      <c r="B96" s="301" t="s">
        <v>1058</v>
      </c>
    </row>
    <row r="97" spans="2:2" ht="18.75" thickBot="1" x14ac:dyDescent="0.3">
      <c r="B97" s="287"/>
    </row>
    <row r="98" spans="2:2" ht="18" x14ac:dyDescent="0.25">
      <c r="B98" s="296" t="s">
        <v>1059</v>
      </c>
    </row>
    <row r="99" spans="2:2" ht="18" x14ac:dyDescent="0.25">
      <c r="B99" s="289" t="s">
        <v>1060</v>
      </c>
    </row>
    <row r="100" spans="2:2" ht="18" x14ac:dyDescent="0.25">
      <c r="B100" s="289" t="s">
        <v>1061</v>
      </c>
    </row>
    <row r="101" spans="2:2" ht="18" x14ac:dyDescent="0.25">
      <c r="B101" s="289" t="s">
        <v>1062</v>
      </c>
    </row>
    <row r="102" spans="2:2" ht="18" x14ac:dyDescent="0.25">
      <c r="B102" s="289" t="s">
        <v>1063</v>
      </c>
    </row>
    <row r="103" spans="2:2" ht="18" x14ac:dyDescent="0.25">
      <c r="B103" s="289" t="s">
        <v>1064</v>
      </c>
    </row>
    <row r="104" spans="2:2" ht="18" x14ac:dyDescent="0.25">
      <c r="B104" s="289" t="s">
        <v>1065</v>
      </c>
    </row>
    <row r="105" spans="2:2" ht="18" x14ac:dyDescent="0.25">
      <c r="B105" s="289" t="s">
        <v>1066</v>
      </c>
    </row>
    <row r="106" spans="2:2" ht="18" x14ac:dyDescent="0.25">
      <c r="B106" s="289" t="s">
        <v>1067</v>
      </c>
    </row>
    <row r="107" spans="2:2" ht="18" x14ac:dyDescent="0.25">
      <c r="B107" s="289" t="s">
        <v>1068</v>
      </c>
    </row>
    <row r="108" spans="2:2" ht="18" x14ac:dyDescent="0.25">
      <c r="B108" s="289" t="s">
        <v>1069</v>
      </c>
    </row>
    <row r="109" spans="2:2" ht="18" x14ac:dyDescent="0.25">
      <c r="B109" s="299" t="s">
        <v>1070</v>
      </c>
    </row>
    <row r="110" spans="2:2" ht="18.75" thickBot="1" x14ac:dyDescent="0.3">
      <c r="B110" s="306"/>
    </row>
    <row r="111" spans="2:2" ht="18" x14ac:dyDescent="0.25">
      <c r="B111" s="309" t="s">
        <v>1071</v>
      </c>
    </row>
    <row r="112" spans="2:2" ht="18" x14ac:dyDescent="0.25">
      <c r="B112" s="299" t="s">
        <v>1072</v>
      </c>
    </row>
    <row r="113" spans="2:2" ht="18" x14ac:dyDescent="0.25">
      <c r="B113" s="299" t="s">
        <v>1073</v>
      </c>
    </row>
    <row r="114" spans="2:2" x14ac:dyDescent="0.25">
      <c r="B114" s="310"/>
    </row>
    <row r="115" spans="2:2" ht="18" x14ac:dyDescent="0.25">
      <c r="B115" s="299" t="s">
        <v>1074</v>
      </c>
    </row>
    <row r="116" spans="2:2" ht="18" x14ac:dyDescent="0.25">
      <c r="B116" s="299" t="s">
        <v>1075</v>
      </c>
    </row>
    <row r="117" spans="2:2" ht="18" x14ac:dyDescent="0.25">
      <c r="B117" s="299" t="s">
        <v>1076</v>
      </c>
    </row>
    <row r="118" spans="2:2" x14ac:dyDescent="0.25">
      <c r="B118" s="310"/>
    </row>
    <row r="119" spans="2:2" ht="18" x14ac:dyDescent="0.25">
      <c r="B119" s="299" t="s">
        <v>1077</v>
      </c>
    </row>
    <row r="120" spans="2:2" ht="18" x14ac:dyDescent="0.25">
      <c r="B120" s="299" t="s">
        <v>1078</v>
      </c>
    </row>
    <row r="121" spans="2:2" ht="18" x14ac:dyDescent="0.25">
      <c r="B121" s="299" t="s">
        <v>1079</v>
      </c>
    </row>
    <row r="122" spans="2:2" x14ac:dyDescent="0.25">
      <c r="B122" s="304"/>
    </row>
    <row r="123" spans="2:2" ht="18" x14ac:dyDescent="0.25">
      <c r="B123" s="289" t="s">
        <v>1080</v>
      </c>
    </row>
    <row r="124" spans="2:2" ht="18" x14ac:dyDescent="0.25">
      <c r="B124" s="289" t="s">
        <v>1081</v>
      </c>
    </row>
    <row r="125" spans="2:2" ht="18" x14ac:dyDescent="0.25">
      <c r="B125" s="289" t="s">
        <v>1082</v>
      </c>
    </row>
    <row r="126" spans="2:2" x14ac:dyDescent="0.25">
      <c r="B126" s="304"/>
    </row>
    <row r="127" spans="2:2" ht="18" x14ac:dyDescent="0.25">
      <c r="B127" s="289" t="s">
        <v>1083</v>
      </c>
    </row>
    <row r="128" spans="2:2" ht="18" x14ac:dyDescent="0.25">
      <c r="B128" s="299" t="s">
        <v>1084</v>
      </c>
    </row>
    <row r="129" spans="2:2" ht="26.25" x14ac:dyDescent="0.25">
      <c r="B129" s="294"/>
    </row>
    <row r="130" spans="2:2" ht="18" x14ac:dyDescent="0.25">
      <c r="B130" s="287"/>
    </row>
    <row r="131" spans="2:2" ht="18" x14ac:dyDescent="0.25">
      <c r="B131" s="287"/>
    </row>
    <row r="132" spans="2:2" ht="18" x14ac:dyDescent="0.25">
      <c r="B132" s="287"/>
    </row>
    <row r="133" spans="2:2" ht="18" x14ac:dyDescent="0.25">
      <c r="B133" s="287"/>
    </row>
    <row r="134" spans="2:2" ht="18" x14ac:dyDescent="0.25">
      <c r="B134" s="287"/>
    </row>
    <row r="135" spans="2:2" x14ac:dyDescent="0.25">
      <c r="B135" s="290"/>
    </row>
    <row r="136" spans="2:2" ht="18" x14ac:dyDescent="0.25">
      <c r="B136" s="287"/>
    </row>
    <row r="137" spans="2:2" ht="18" x14ac:dyDescent="0.25">
      <c r="B137" s="293"/>
    </row>
    <row r="138" spans="2:2" ht="18" x14ac:dyDescent="0.25">
      <c r="B138" s="293"/>
    </row>
    <row r="139" spans="2:2" ht="18" x14ac:dyDescent="0.25">
      <c r="B139" s="293"/>
    </row>
    <row r="182" spans="2:2" ht="18" x14ac:dyDescent="0.25">
      <c r="B182" s="287" t="s">
        <v>1127</v>
      </c>
    </row>
    <row r="183" spans="2:2" ht="18" x14ac:dyDescent="0.25">
      <c r="B183" s="287" t="s">
        <v>1128</v>
      </c>
    </row>
    <row r="184" spans="2:2" ht="18" x14ac:dyDescent="0.25">
      <c r="B184" s="287" t="s">
        <v>1129</v>
      </c>
    </row>
    <row r="185" spans="2:2" ht="18" x14ac:dyDescent="0.25">
      <c r="B185" s="287" t="s">
        <v>1130</v>
      </c>
    </row>
    <row r="186" spans="2:2" x14ac:dyDescent="0.25">
      <c r="B186" s="290"/>
    </row>
    <row r="187" spans="2:2" ht="18" x14ac:dyDescent="0.25">
      <c r="B187" s="287" t="s">
        <v>1131</v>
      </c>
    </row>
    <row r="188" spans="2:2" ht="18" x14ac:dyDescent="0.25">
      <c r="B188" s="287" t="s">
        <v>1132</v>
      </c>
    </row>
    <row r="189" spans="2:2" ht="18" x14ac:dyDescent="0.25">
      <c r="B189" s="287" t="s">
        <v>1133</v>
      </c>
    </row>
    <row r="190" spans="2:2" ht="18" x14ac:dyDescent="0.25">
      <c r="B190" s="287" t="s">
        <v>1134</v>
      </c>
    </row>
    <row r="191" spans="2:2" x14ac:dyDescent="0.25">
      <c r="B191" s="290"/>
    </row>
    <row r="192" spans="2:2" ht="18" x14ac:dyDescent="0.25">
      <c r="B192" s="287" t="s">
        <v>1135</v>
      </c>
    </row>
    <row r="193" spans="2:2" x14ac:dyDescent="0.25">
      <c r="B193" s="290"/>
    </row>
    <row r="194" spans="2:2" ht="18" x14ac:dyDescent="0.25">
      <c r="B194" s="287" t="s">
        <v>1136</v>
      </c>
    </row>
    <row r="195" spans="2:2" ht="18" x14ac:dyDescent="0.25">
      <c r="B195" s="287" t="s">
        <v>1137</v>
      </c>
    </row>
    <row r="196" spans="2:2" ht="18" x14ac:dyDescent="0.25">
      <c r="B196" s="287" t="s">
        <v>1138</v>
      </c>
    </row>
    <row r="197" spans="2:2" ht="18" x14ac:dyDescent="0.25">
      <c r="B197" s="287" t="s">
        <v>1139</v>
      </c>
    </row>
    <row r="198" spans="2:2" ht="18" x14ac:dyDescent="0.25">
      <c r="B198" s="287" t="s">
        <v>1140</v>
      </c>
    </row>
    <row r="199" spans="2:2" ht="18" x14ac:dyDescent="0.25">
      <c r="B199" s="287" t="s">
        <v>1141</v>
      </c>
    </row>
    <row r="200" spans="2:2" x14ac:dyDescent="0.25">
      <c r="B200" s="290"/>
    </row>
    <row r="201" spans="2:2" ht="18" x14ac:dyDescent="0.25">
      <c r="B201" s="287" t="s">
        <v>1142</v>
      </c>
    </row>
    <row r="202" spans="2:2" ht="18" x14ac:dyDescent="0.25">
      <c r="B202" s="287" t="s">
        <v>1143</v>
      </c>
    </row>
    <row r="203" spans="2:2" ht="18" x14ac:dyDescent="0.25">
      <c r="B203" s="287" t="s">
        <v>1144</v>
      </c>
    </row>
    <row r="204" spans="2:2" ht="18" x14ac:dyDescent="0.25">
      <c r="B204" s="287" t="s">
        <v>1145</v>
      </c>
    </row>
    <row r="205" spans="2:2" ht="18" x14ac:dyDescent="0.25">
      <c r="B205" s="287" t="s">
        <v>1146</v>
      </c>
    </row>
    <row r="206" spans="2:2" ht="18" x14ac:dyDescent="0.25">
      <c r="B206" s="287" t="s">
        <v>1147</v>
      </c>
    </row>
    <row r="207" spans="2:2" ht="18" x14ac:dyDescent="0.25">
      <c r="B207" s="287" t="s">
        <v>1148</v>
      </c>
    </row>
    <row r="208" spans="2:2" ht="18" x14ac:dyDescent="0.25">
      <c r="B208" s="287" t="s">
        <v>1149</v>
      </c>
    </row>
    <row r="209" spans="2:2" ht="18" x14ac:dyDescent="0.25">
      <c r="B209" s="287" t="s">
        <v>1150</v>
      </c>
    </row>
    <row r="210" spans="2:2" ht="18" x14ac:dyDescent="0.25">
      <c r="B210" s="287" t="s">
        <v>1151</v>
      </c>
    </row>
    <row r="211" spans="2:2" x14ac:dyDescent="0.25">
      <c r="B211" s="290"/>
    </row>
    <row r="212" spans="2:2" ht="18" x14ac:dyDescent="0.25">
      <c r="B212" s="287" t="s">
        <v>1152</v>
      </c>
    </row>
    <row r="213" spans="2:2" ht="18" x14ac:dyDescent="0.25">
      <c r="B213" s="287" t="s">
        <v>1153</v>
      </c>
    </row>
    <row r="214" spans="2:2" ht="18" x14ac:dyDescent="0.25">
      <c r="B214" s="287" t="s">
        <v>1154</v>
      </c>
    </row>
    <row r="215" spans="2:2" ht="18" x14ac:dyDescent="0.25">
      <c r="B215" s="287" t="s">
        <v>1155</v>
      </c>
    </row>
    <row r="216" spans="2:2" ht="18" x14ac:dyDescent="0.25">
      <c r="B216" s="287" t="s">
        <v>1156</v>
      </c>
    </row>
    <row r="217" spans="2:2" ht="18" x14ac:dyDescent="0.25">
      <c r="B217" s="287" t="s">
        <v>1157</v>
      </c>
    </row>
    <row r="218" spans="2:2" x14ac:dyDescent="0.25">
      <c r="B218" s="290"/>
    </row>
    <row r="219" spans="2:2" ht="18" x14ac:dyDescent="0.25">
      <c r="B219" s="287" t="s">
        <v>1158</v>
      </c>
    </row>
    <row r="220" spans="2:2" ht="18" x14ac:dyDescent="0.25">
      <c r="B220" s="287" t="s">
        <v>1159</v>
      </c>
    </row>
    <row r="221" spans="2:2" x14ac:dyDescent="0.25">
      <c r="B221" s="290"/>
    </row>
    <row r="222" spans="2:2" ht="18" x14ac:dyDescent="0.25">
      <c r="B222" s="287" t="s">
        <v>1160</v>
      </c>
    </row>
    <row r="223" spans="2:2" ht="18" x14ac:dyDescent="0.25">
      <c r="B223" s="287" t="s">
        <v>1161</v>
      </c>
    </row>
    <row r="224" spans="2:2" x14ac:dyDescent="0.25">
      <c r="B224" s="290"/>
    </row>
    <row r="225" spans="2:2" ht="18" x14ac:dyDescent="0.25">
      <c r="B225" s="287" t="s">
        <v>1142</v>
      </c>
    </row>
    <row r="226" spans="2:2" ht="18" x14ac:dyDescent="0.25">
      <c r="B226" s="287" t="s">
        <v>1143</v>
      </c>
    </row>
    <row r="227" spans="2:2" ht="18" x14ac:dyDescent="0.25">
      <c r="B227" s="287" t="s">
        <v>1144</v>
      </c>
    </row>
    <row r="228" spans="2:2" ht="18" x14ac:dyDescent="0.25">
      <c r="B228" s="287" t="s">
        <v>1145</v>
      </c>
    </row>
    <row r="229" spans="2:2" ht="18" x14ac:dyDescent="0.25">
      <c r="B229" s="287" t="s">
        <v>1162</v>
      </c>
    </row>
    <row r="230" spans="2:2" ht="18" x14ac:dyDescent="0.25">
      <c r="B230" s="287" t="s">
        <v>1163</v>
      </c>
    </row>
    <row r="231" spans="2:2" ht="18" x14ac:dyDescent="0.25">
      <c r="B231" s="287" t="s">
        <v>1164</v>
      </c>
    </row>
    <row r="232" spans="2:2" ht="18" x14ac:dyDescent="0.25">
      <c r="B232" s="287" t="s">
        <v>1165</v>
      </c>
    </row>
    <row r="233" spans="2:2" ht="18" x14ac:dyDescent="0.25">
      <c r="B233" s="287" t="s">
        <v>1150</v>
      </c>
    </row>
    <row r="234" spans="2:2" ht="18" x14ac:dyDescent="0.25">
      <c r="B234" s="287" t="s">
        <v>1166</v>
      </c>
    </row>
    <row r="235" spans="2:2" ht="18" x14ac:dyDescent="0.25">
      <c r="B235" s="287"/>
    </row>
    <row r="236" spans="2:2" ht="18" x14ac:dyDescent="0.25">
      <c r="B236" s="287" t="s">
        <v>1167</v>
      </c>
    </row>
    <row r="237" spans="2:2" ht="18" x14ac:dyDescent="0.25">
      <c r="B237" s="287" t="s">
        <v>1168</v>
      </c>
    </row>
    <row r="238" spans="2:2" ht="18" x14ac:dyDescent="0.25">
      <c r="B238" s="287" t="s">
        <v>1169</v>
      </c>
    </row>
    <row r="239" spans="2:2" ht="18" x14ac:dyDescent="0.25">
      <c r="B239" s="287"/>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79998168889431442"/>
    <pageSetUpPr fitToPage="1"/>
  </sheetPr>
  <dimension ref="A1:R143"/>
  <sheetViews>
    <sheetView rightToLeft="1" zoomScale="60" zoomScaleNormal="60" zoomScaleSheetLayoutView="90" workbookViewId="0">
      <pane ySplit="1" topLeftCell="A2" activePane="bottomLeft" state="frozen"/>
      <selection pane="bottomLeft" activeCell="M14" sqref="M14"/>
    </sheetView>
  </sheetViews>
  <sheetFormatPr defaultColWidth="9" defaultRowHeight="33" x14ac:dyDescent="0.4"/>
  <cols>
    <col min="1" max="1" width="3.85546875" style="343" customWidth="1"/>
    <col min="2" max="2" width="7.28515625" style="343" customWidth="1"/>
    <col min="3" max="3" width="23" style="343" customWidth="1"/>
    <col min="4" max="4" width="11.42578125" style="369" customWidth="1"/>
    <col min="5" max="5" width="24.5703125" style="347" customWidth="1"/>
    <col min="6" max="6" width="11.42578125" style="370" customWidth="1"/>
    <col min="7" max="7" width="10.7109375" style="370" customWidth="1"/>
    <col min="8" max="8" width="14.5703125" style="370" customWidth="1"/>
    <col min="9" max="9" width="13.7109375" style="370" customWidth="1"/>
    <col min="10" max="10" width="13.7109375" style="371" customWidth="1"/>
    <col min="11" max="12" width="21.85546875" style="345" customWidth="1"/>
    <col min="13" max="13" width="47" style="346" customWidth="1"/>
    <col min="14" max="14" width="16.85546875" style="346" customWidth="1"/>
    <col min="15" max="15" width="11.85546875" style="346" customWidth="1"/>
    <col min="16" max="16" width="11.140625" style="346" customWidth="1"/>
    <col min="17" max="17" width="10.85546875" style="346" customWidth="1"/>
    <col min="18" max="16384" width="9" style="346"/>
  </cols>
  <sheetData>
    <row r="1" spans="1:15" ht="44.25" customHeight="1" thickBot="1" x14ac:dyDescent="0.45">
      <c r="B1" s="918">
        <f>'اسعار الخامات'!B1:E1</f>
        <v>0</v>
      </c>
      <c r="C1" s="918"/>
      <c r="D1" s="918"/>
      <c r="E1" s="918"/>
      <c r="F1" s="918"/>
      <c r="G1" s="918"/>
      <c r="H1" s="918"/>
      <c r="I1" s="918"/>
      <c r="J1" s="918"/>
    </row>
    <row r="2" spans="1:15" ht="46.5" customHeight="1" thickBot="1" x14ac:dyDescent="0.45">
      <c r="B2" s="919" t="s">
        <v>9</v>
      </c>
      <c r="C2" s="919"/>
      <c r="D2" s="919"/>
      <c r="E2" s="919"/>
      <c r="F2" s="919"/>
      <c r="G2" s="919"/>
      <c r="H2" s="919"/>
      <c r="I2" s="919"/>
      <c r="J2" s="920"/>
      <c r="K2" s="380" t="s">
        <v>1171</v>
      </c>
      <c r="L2" s="350"/>
      <c r="N2" s="351"/>
      <c r="O2" s="351"/>
    </row>
    <row r="3" spans="1:15" ht="52.5" customHeight="1" thickBot="1" x14ac:dyDescent="0.45">
      <c r="A3" s="347"/>
      <c r="B3" s="342" t="s">
        <v>0</v>
      </c>
      <c r="C3" s="342" t="s">
        <v>1</v>
      </c>
      <c r="D3" s="913" t="s">
        <v>2</v>
      </c>
      <c r="E3" s="913"/>
      <c r="F3" s="342" t="s">
        <v>3</v>
      </c>
      <c r="G3" s="342" t="s">
        <v>4</v>
      </c>
      <c r="H3" s="342" t="s">
        <v>5</v>
      </c>
      <c r="I3" s="342" t="s">
        <v>6</v>
      </c>
      <c r="J3" s="349" t="s">
        <v>7</v>
      </c>
      <c r="K3" s="350"/>
      <c r="L3" s="350"/>
    </row>
    <row r="4" spans="1:15" ht="33" customHeight="1" x14ac:dyDescent="0.4">
      <c r="B4" s="921">
        <v>1</v>
      </c>
      <c r="C4" s="914" t="s">
        <v>298</v>
      </c>
      <c r="D4" s="915" t="s">
        <v>10</v>
      </c>
      <c r="E4" s="352" t="s">
        <v>289</v>
      </c>
      <c r="F4" s="353" t="s">
        <v>12</v>
      </c>
      <c r="G4" s="354">
        <f>'اسعار المصنعيات'!D77</f>
        <v>7</v>
      </c>
      <c r="H4" s="353">
        <v>1</v>
      </c>
      <c r="I4" s="355"/>
      <c r="J4" s="381">
        <f>G4*H4+(G4*H4*I4)</f>
        <v>7</v>
      </c>
      <c r="K4" s="924" t="s">
        <v>611</v>
      </c>
      <c r="L4" s="350"/>
      <c r="M4" s="312" t="s">
        <v>1170</v>
      </c>
      <c r="N4" s="357"/>
      <c r="O4" s="357"/>
    </row>
    <row r="5" spans="1:15" ht="33.75" customHeight="1" thickBot="1" x14ac:dyDescent="0.45">
      <c r="B5" s="922"/>
      <c r="C5" s="914"/>
      <c r="D5" s="915"/>
      <c r="E5" s="352" t="s">
        <v>177</v>
      </c>
      <c r="F5" s="353" t="s">
        <v>12</v>
      </c>
      <c r="G5" s="358">
        <f>'اسعار المصنعيات'!D78</f>
        <v>12</v>
      </c>
      <c r="H5" s="359">
        <v>1</v>
      </c>
      <c r="I5" s="355"/>
      <c r="J5" s="381">
        <f>G5*H5+(G5*H5*I5)</f>
        <v>12</v>
      </c>
      <c r="K5" s="925"/>
      <c r="L5" s="350"/>
      <c r="M5" s="291" t="s">
        <v>927</v>
      </c>
      <c r="N5" s="357"/>
      <c r="O5" s="357"/>
    </row>
    <row r="6" spans="1:15" ht="32.25" customHeight="1" x14ac:dyDescent="0.4">
      <c r="B6" s="923"/>
      <c r="C6" s="914"/>
      <c r="D6" s="915"/>
      <c r="E6" s="352" t="s">
        <v>619</v>
      </c>
      <c r="F6" s="353"/>
      <c r="G6" s="358"/>
      <c r="H6" s="359"/>
      <c r="I6" s="355"/>
      <c r="J6" s="356">
        <v>2</v>
      </c>
      <c r="L6" s="350"/>
      <c r="M6" s="291" t="s">
        <v>928</v>
      </c>
      <c r="N6" s="357"/>
      <c r="O6" s="357"/>
    </row>
    <row r="7" spans="1:15" s="379" customFormat="1" ht="54" x14ac:dyDescent="0.5">
      <c r="A7" s="376"/>
      <c r="B7" s="916" t="s">
        <v>13</v>
      </c>
      <c r="C7" s="916"/>
      <c r="D7" s="916"/>
      <c r="E7" s="916"/>
      <c r="F7" s="916"/>
      <c r="G7" s="916"/>
      <c r="H7" s="916"/>
      <c r="I7" s="916"/>
      <c r="J7" s="377">
        <f>SUM(J4:J6)</f>
        <v>21</v>
      </c>
      <c r="K7" s="377">
        <f>J7*1.25</f>
        <v>26.25</v>
      </c>
      <c r="L7" s="350"/>
      <c r="M7" s="291" t="s">
        <v>929</v>
      </c>
      <c r="N7" s="378"/>
      <c r="O7" s="378"/>
    </row>
    <row r="8" spans="1:15" ht="33" hidden="1" customHeight="1" thickBot="1" x14ac:dyDescent="0.45">
      <c r="B8" s="247">
        <v>2</v>
      </c>
      <c r="C8" s="914" t="s">
        <v>222</v>
      </c>
      <c r="D8" s="915" t="s">
        <v>10</v>
      </c>
      <c r="E8" s="352" t="s">
        <v>221</v>
      </c>
      <c r="F8" s="353" t="s">
        <v>12</v>
      </c>
      <c r="G8" s="354">
        <f>1350/50</f>
        <v>27</v>
      </c>
      <c r="H8" s="353">
        <v>1</v>
      </c>
      <c r="I8" s="355"/>
      <c r="J8" s="362">
        <f>G8*H8+(G8*H8*I8)</f>
        <v>27</v>
      </c>
      <c r="K8" s="350"/>
      <c r="L8" s="350"/>
      <c r="M8" s="357"/>
      <c r="N8" s="357"/>
      <c r="O8" s="357"/>
    </row>
    <row r="9" spans="1:15" ht="33.75" hidden="1" customHeight="1" thickBot="1" x14ac:dyDescent="0.45">
      <c r="B9" s="247"/>
      <c r="C9" s="914"/>
      <c r="D9" s="915"/>
      <c r="E9" s="352" t="s">
        <v>220</v>
      </c>
      <c r="F9" s="353" t="s">
        <v>12</v>
      </c>
      <c r="G9" s="354">
        <f>900/200</f>
        <v>4.5</v>
      </c>
      <c r="H9" s="353">
        <v>1</v>
      </c>
      <c r="I9" s="355"/>
      <c r="J9" s="356">
        <f>G9*H9+(G9*H9*I9)</f>
        <v>4.5</v>
      </c>
      <c r="L9" s="350"/>
      <c r="M9" s="360" t="s">
        <v>612</v>
      </c>
      <c r="N9" s="363"/>
      <c r="O9" s="363"/>
    </row>
    <row r="10" spans="1:15" ht="33.75" hidden="1" customHeight="1" x14ac:dyDescent="0.4">
      <c r="B10" s="247"/>
      <c r="C10" s="914"/>
      <c r="D10" s="915"/>
      <c r="E10" s="352" t="s">
        <v>177</v>
      </c>
      <c r="F10" s="353" t="s">
        <v>12</v>
      </c>
      <c r="G10" s="358">
        <v>8</v>
      </c>
      <c r="H10" s="359">
        <v>1</v>
      </c>
      <c r="I10" s="355"/>
      <c r="J10" s="356">
        <f>G10*H10+(G10*H10*I10)</f>
        <v>8</v>
      </c>
      <c r="K10" s="364"/>
      <c r="L10" s="350"/>
      <c r="M10" s="363"/>
      <c r="N10" s="363"/>
      <c r="O10" s="363"/>
    </row>
    <row r="11" spans="1:15" hidden="1" x14ac:dyDescent="0.4">
      <c r="B11" s="917" t="s">
        <v>13</v>
      </c>
      <c r="C11" s="917"/>
      <c r="D11" s="917"/>
      <c r="E11" s="917"/>
      <c r="F11" s="917"/>
      <c r="G11" s="917"/>
      <c r="H11" s="917"/>
      <c r="I11" s="917"/>
      <c r="J11" s="361">
        <f>SUM(J8:J10)</f>
        <v>39.5</v>
      </c>
      <c r="K11" s="350"/>
      <c r="L11" s="350"/>
      <c r="M11" s="351"/>
      <c r="N11" s="351"/>
      <c r="O11" s="351"/>
    </row>
    <row r="12" spans="1:15" ht="26.25" x14ac:dyDescent="0.4">
      <c r="A12" s="350"/>
      <c r="B12" s="350"/>
      <c r="C12" s="350"/>
      <c r="D12" s="350"/>
      <c r="E12" s="350"/>
      <c r="F12" s="350"/>
      <c r="G12" s="350"/>
      <c r="H12" s="350"/>
      <c r="I12" s="350"/>
      <c r="J12" s="350"/>
      <c r="K12" s="350"/>
      <c r="L12" s="350"/>
      <c r="M12" s="351"/>
      <c r="N12" s="351"/>
      <c r="O12" s="351"/>
    </row>
    <row r="13" spans="1:15" ht="51" x14ac:dyDescent="0.4">
      <c r="A13" s="350"/>
      <c r="B13" s="348" t="s">
        <v>0</v>
      </c>
      <c r="C13" s="348" t="s">
        <v>1</v>
      </c>
      <c r="D13" s="913" t="s">
        <v>2</v>
      </c>
      <c r="E13" s="913"/>
      <c r="F13" s="348" t="s">
        <v>3</v>
      </c>
      <c r="G13" s="348" t="s">
        <v>4</v>
      </c>
      <c r="H13" s="348" t="s">
        <v>5</v>
      </c>
      <c r="I13" s="348" t="s">
        <v>6</v>
      </c>
      <c r="J13" s="349" t="s">
        <v>7</v>
      </c>
      <c r="K13" s="350"/>
      <c r="L13" s="350"/>
      <c r="M13" s="351"/>
      <c r="N13" s="351"/>
      <c r="O13" s="351"/>
    </row>
    <row r="14" spans="1:15" ht="33" customHeight="1" x14ac:dyDescent="0.4">
      <c r="A14" s="350"/>
      <c r="B14" s="914">
        <v>1</v>
      </c>
      <c r="C14" s="914" t="s">
        <v>1175</v>
      </c>
      <c r="D14" s="915" t="s">
        <v>10</v>
      </c>
      <c r="E14" s="352" t="s">
        <v>1176</v>
      </c>
      <c r="F14" s="353" t="s">
        <v>12</v>
      </c>
      <c r="G14" s="354">
        <f>'اسعار المصنعيات'!D83</f>
        <v>60</v>
      </c>
      <c r="H14" s="353">
        <v>1</v>
      </c>
      <c r="I14" s="355"/>
      <c r="J14" s="356">
        <f>G14*H14+(G14*H14*I14)</f>
        <v>60</v>
      </c>
      <c r="K14" s="350"/>
      <c r="L14" s="350"/>
      <c r="M14" s="351"/>
      <c r="N14" s="351"/>
      <c r="O14" s="351"/>
    </row>
    <row r="15" spans="1:15" ht="33.75" customHeight="1" x14ac:dyDescent="0.4">
      <c r="A15" s="350"/>
      <c r="B15" s="914"/>
      <c r="C15" s="914"/>
      <c r="D15" s="915"/>
      <c r="E15" s="352" t="s">
        <v>177</v>
      </c>
      <c r="F15" s="353" t="s">
        <v>12</v>
      </c>
      <c r="G15" s="358">
        <f>'اسعار المصنعيات'!D78</f>
        <v>12</v>
      </c>
      <c r="H15" s="359">
        <v>1</v>
      </c>
      <c r="I15" s="355"/>
      <c r="J15" s="356">
        <f>G15*H15+(G15*H15*I15)</f>
        <v>12</v>
      </c>
      <c r="K15" s="350"/>
      <c r="L15" s="350"/>
      <c r="M15" s="351"/>
      <c r="N15" s="351"/>
      <c r="O15" s="351"/>
    </row>
    <row r="16" spans="1:15" x14ac:dyDescent="0.4">
      <c r="A16" s="350"/>
      <c r="B16" s="914"/>
      <c r="C16" s="914"/>
      <c r="D16" s="915"/>
      <c r="E16" s="352" t="s">
        <v>619</v>
      </c>
      <c r="F16" s="353"/>
      <c r="G16" s="358"/>
      <c r="H16" s="359"/>
      <c r="I16" s="355"/>
      <c r="J16" s="356">
        <v>2</v>
      </c>
      <c r="L16" s="350"/>
      <c r="M16" s="351"/>
      <c r="N16" s="351"/>
      <c r="O16" s="351"/>
    </row>
    <row r="17" spans="1:15" ht="31.5" customHeight="1" x14ac:dyDescent="0.4">
      <c r="A17" s="350"/>
      <c r="B17" s="916" t="s">
        <v>13</v>
      </c>
      <c r="C17" s="916"/>
      <c r="D17" s="916"/>
      <c r="E17" s="916"/>
      <c r="F17" s="916"/>
      <c r="G17" s="916"/>
      <c r="H17" s="916"/>
      <c r="I17" s="916"/>
      <c r="J17" s="377">
        <f>SUM(J14:J16)</f>
        <v>74</v>
      </c>
      <c r="K17" s="377">
        <f>J17*1.25</f>
        <v>92.5</v>
      </c>
      <c r="L17" s="350"/>
      <c r="M17" s="351"/>
      <c r="N17" s="351"/>
      <c r="O17" s="351"/>
    </row>
    <row r="18" spans="1:15" ht="26.25" x14ac:dyDescent="0.4">
      <c r="A18" s="350"/>
      <c r="B18" s="350"/>
      <c r="C18" s="350"/>
      <c r="D18" s="350"/>
      <c r="E18" s="350"/>
      <c r="F18" s="350"/>
      <c r="G18" s="350"/>
      <c r="H18" s="350"/>
      <c r="I18" s="350"/>
      <c r="J18" s="350"/>
      <c r="K18" s="350"/>
      <c r="L18" s="350"/>
      <c r="M18" s="351"/>
      <c r="N18" s="351"/>
      <c r="O18" s="351"/>
    </row>
    <row r="19" spans="1:15" ht="51" x14ac:dyDescent="0.4">
      <c r="A19" s="350"/>
      <c r="B19" s="803" t="s">
        <v>0</v>
      </c>
      <c r="C19" s="803" t="s">
        <v>1</v>
      </c>
      <c r="D19" s="913" t="s">
        <v>2</v>
      </c>
      <c r="E19" s="913"/>
      <c r="F19" s="803" t="s">
        <v>3</v>
      </c>
      <c r="G19" s="803" t="s">
        <v>4</v>
      </c>
      <c r="H19" s="803" t="s">
        <v>5</v>
      </c>
      <c r="I19" s="803" t="s">
        <v>6</v>
      </c>
      <c r="J19" s="349" t="s">
        <v>7</v>
      </c>
      <c r="K19" s="350"/>
      <c r="L19" s="350"/>
      <c r="M19" s="351"/>
      <c r="N19" s="351"/>
      <c r="O19" s="351"/>
    </row>
    <row r="20" spans="1:15" ht="33" customHeight="1" x14ac:dyDescent="0.4">
      <c r="A20" s="350"/>
      <c r="B20" s="914">
        <v>1</v>
      </c>
      <c r="C20" s="914" t="s">
        <v>1242</v>
      </c>
      <c r="D20" s="915" t="s">
        <v>10</v>
      </c>
      <c r="E20" s="352" t="s">
        <v>1176</v>
      </c>
      <c r="F20" s="353" t="s">
        <v>12</v>
      </c>
      <c r="G20" s="804">
        <f>'اسعار المصنعيات'!D82</f>
        <v>30</v>
      </c>
      <c r="H20" s="353">
        <v>1</v>
      </c>
      <c r="I20" s="355"/>
      <c r="J20" s="356">
        <f>G20*H20+(G20*H20*I20)</f>
        <v>30</v>
      </c>
      <c r="K20" s="350"/>
      <c r="L20" s="350"/>
      <c r="M20" s="351"/>
      <c r="N20" s="351"/>
      <c r="O20" s="351"/>
    </row>
    <row r="21" spans="1:15" ht="33" customHeight="1" x14ac:dyDescent="0.4">
      <c r="A21" s="350"/>
      <c r="B21" s="914"/>
      <c r="C21" s="914"/>
      <c r="D21" s="915"/>
      <c r="E21" s="352" t="s">
        <v>177</v>
      </c>
      <c r="F21" s="353" t="s">
        <v>12</v>
      </c>
      <c r="G21" s="358">
        <f>G15</f>
        <v>12</v>
      </c>
      <c r="H21" s="359">
        <v>1</v>
      </c>
      <c r="I21" s="355"/>
      <c r="J21" s="356">
        <f>G21*H21+(G21*H21*I21)</f>
        <v>12</v>
      </c>
      <c r="K21" s="350"/>
      <c r="L21" s="350"/>
      <c r="M21" s="351"/>
      <c r="N21" s="351"/>
      <c r="O21" s="351"/>
    </row>
    <row r="22" spans="1:15" x14ac:dyDescent="0.4">
      <c r="A22" s="350"/>
      <c r="B22" s="914"/>
      <c r="C22" s="914"/>
      <c r="D22" s="915"/>
      <c r="E22" s="352" t="s">
        <v>619</v>
      </c>
      <c r="F22" s="353"/>
      <c r="G22" s="358"/>
      <c r="H22" s="359"/>
      <c r="I22" s="355"/>
      <c r="J22" s="356">
        <v>2</v>
      </c>
      <c r="L22" s="350"/>
      <c r="M22" s="351"/>
      <c r="N22" s="351"/>
      <c r="O22" s="351"/>
    </row>
    <row r="23" spans="1:15" ht="30" customHeight="1" x14ac:dyDescent="0.4">
      <c r="A23" s="350"/>
      <c r="B23" s="916" t="s">
        <v>13</v>
      </c>
      <c r="C23" s="916"/>
      <c r="D23" s="916"/>
      <c r="E23" s="916"/>
      <c r="F23" s="916"/>
      <c r="G23" s="916"/>
      <c r="H23" s="916"/>
      <c r="I23" s="916"/>
      <c r="J23" s="377">
        <f>SUM(J20:J22)</f>
        <v>44</v>
      </c>
      <c r="K23" s="377">
        <f>J23*1.25</f>
        <v>55</v>
      </c>
      <c r="L23" s="350"/>
      <c r="M23" s="351"/>
      <c r="N23" s="351"/>
      <c r="O23" s="351"/>
    </row>
    <row r="24" spans="1:15" ht="30" customHeight="1" x14ac:dyDescent="0.4">
      <c r="A24" s="350"/>
      <c r="B24" s="350"/>
      <c r="C24" s="350"/>
      <c r="D24" s="350"/>
      <c r="E24" s="350"/>
      <c r="F24" s="350"/>
      <c r="G24" s="350"/>
      <c r="H24" s="350"/>
      <c r="I24" s="350"/>
      <c r="J24" s="350"/>
      <c r="K24" s="350"/>
      <c r="L24" s="350"/>
      <c r="M24" s="351"/>
      <c r="N24" s="351"/>
      <c r="O24" s="351"/>
    </row>
    <row r="25" spans="1:15" ht="51" x14ac:dyDescent="0.4">
      <c r="A25" s="350"/>
      <c r="B25" s="348" t="s">
        <v>0</v>
      </c>
      <c r="C25" s="348" t="s">
        <v>1</v>
      </c>
      <c r="D25" s="913" t="s">
        <v>2</v>
      </c>
      <c r="E25" s="913"/>
      <c r="F25" s="348" t="s">
        <v>3</v>
      </c>
      <c r="G25" s="348" t="s">
        <v>4</v>
      </c>
      <c r="H25" s="348" t="s">
        <v>5</v>
      </c>
      <c r="I25" s="348" t="s">
        <v>6</v>
      </c>
      <c r="J25" s="349" t="s">
        <v>7</v>
      </c>
      <c r="K25" s="350"/>
      <c r="L25" s="350"/>
      <c r="M25" s="351"/>
      <c r="N25" s="351"/>
      <c r="O25" s="351"/>
    </row>
    <row r="26" spans="1:15" ht="33" customHeight="1" x14ac:dyDescent="0.4">
      <c r="A26" s="350"/>
      <c r="B26" s="914">
        <v>1</v>
      </c>
      <c r="C26" s="914" t="s">
        <v>1177</v>
      </c>
      <c r="D26" s="915" t="s">
        <v>10</v>
      </c>
      <c r="E26" s="352" t="s">
        <v>1178</v>
      </c>
      <c r="F26" s="353" t="s">
        <v>12</v>
      </c>
      <c r="G26" s="354">
        <f>'اسعار الخامات'!E8</f>
        <v>35</v>
      </c>
      <c r="H26" s="353">
        <v>1</v>
      </c>
      <c r="I26" s="355"/>
      <c r="J26" s="356">
        <f>G26*H26+(G26*H26*I26)</f>
        <v>35</v>
      </c>
      <c r="K26" s="350"/>
      <c r="L26" s="350"/>
      <c r="M26" s="351"/>
      <c r="N26" s="351"/>
      <c r="O26" s="351"/>
    </row>
    <row r="27" spans="1:15" x14ac:dyDescent="0.4">
      <c r="A27" s="350"/>
      <c r="B27" s="914"/>
      <c r="C27" s="914"/>
      <c r="D27" s="915"/>
      <c r="E27" s="352" t="s">
        <v>910</v>
      </c>
      <c r="F27" s="353" t="s">
        <v>12</v>
      </c>
      <c r="G27" s="358">
        <f>'اسعار المصنعيات'!D84</f>
        <v>3</v>
      </c>
      <c r="H27" s="359">
        <v>1</v>
      </c>
      <c r="I27" s="355"/>
      <c r="J27" s="356">
        <f>G27*H27+(G27*H27*I27)</f>
        <v>3</v>
      </c>
      <c r="K27" s="350"/>
      <c r="L27" s="350"/>
      <c r="M27" s="351"/>
      <c r="N27" s="351"/>
      <c r="O27" s="351"/>
    </row>
    <row r="28" spans="1:15" x14ac:dyDescent="0.4">
      <c r="A28" s="350"/>
      <c r="B28" s="914"/>
      <c r="C28" s="914"/>
      <c r="D28" s="915"/>
      <c r="E28" s="352" t="s">
        <v>619</v>
      </c>
      <c r="F28" s="353"/>
      <c r="G28" s="358"/>
      <c r="H28" s="359"/>
      <c r="I28" s="355"/>
      <c r="J28" s="356">
        <v>2</v>
      </c>
      <c r="L28" s="350"/>
      <c r="M28" s="351"/>
      <c r="N28" s="351"/>
      <c r="O28" s="351"/>
    </row>
    <row r="29" spans="1:15" ht="30" customHeight="1" x14ac:dyDescent="0.4">
      <c r="A29" s="350"/>
      <c r="B29" s="916" t="s">
        <v>13</v>
      </c>
      <c r="C29" s="916"/>
      <c r="D29" s="916"/>
      <c r="E29" s="916"/>
      <c r="F29" s="916"/>
      <c r="G29" s="916"/>
      <c r="H29" s="916"/>
      <c r="I29" s="916"/>
      <c r="J29" s="377">
        <f>SUM(J26:J28)</f>
        <v>40</v>
      </c>
      <c r="K29" s="377">
        <f>J29*1.25</f>
        <v>50</v>
      </c>
      <c r="L29" s="350"/>
      <c r="M29" s="351"/>
      <c r="N29" s="351"/>
      <c r="O29" s="351"/>
    </row>
    <row r="30" spans="1:15" ht="26.25" x14ac:dyDescent="0.4">
      <c r="A30" s="350"/>
      <c r="B30" s="350"/>
      <c r="C30" s="350"/>
      <c r="D30" s="350"/>
      <c r="E30" s="350"/>
      <c r="F30" s="350"/>
      <c r="G30" s="350"/>
      <c r="H30" s="350"/>
      <c r="I30" s="350"/>
      <c r="J30" s="350"/>
      <c r="K30" s="350"/>
      <c r="L30" s="350"/>
      <c r="M30" s="351"/>
      <c r="N30" s="351"/>
      <c r="O30" s="351"/>
    </row>
    <row r="31" spans="1:15" ht="52.5" customHeight="1" x14ac:dyDescent="0.4">
      <c r="A31" s="347"/>
      <c r="B31" s="342" t="s">
        <v>0</v>
      </c>
      <c r="C31" s="342" t="s">
        <v>1</v>
      </c>
      <c r="D31" s="913" t="s">
        <v>2</v>
      </c>
      <c r="E31" s="913"/>
      <c r="F31" s="342" t="s">
        <v>3</v>
      </c>
      <c r="G31" s="342" t="s">
        <v>4</v>
      </c>
      <c r="H31" s="342" t="s">
        <v>5</v>
      </c>
      <c r="I31" s="342" t="s">
        <v>6</v>
      </c>
      <c r="J31" s="349" t="s">
        <v>7</v>
      </c>
      <c r="K31" s="350"/>
      <c r="L31" s="350"/>
      <c r="M31" s="351"/>
    </row>
    <row r="32" spans="1:15" ht="36" customHeight="1" x14ac:dyDescent="0.4">
      <c r="B32" s="247">
        <v>2</v>
      </c>
      <c r="C32" s="921" t="s">
        <v>320</v>
      </c>
      <c r="D32" s="915" t="s">
        <v>14</v>
      </c>
      <c r="E32" s="352" t="s">
        <v>21</v>
      </c>
      <c r="F32" s="353" t="s">
        <v>12</v>
      </c>
      <c r="G32" s="354">
        <f>'اسعار الخامات'!E9</f>
        <v>35</v>
      </c>
      <c r="H32" s="356">
        <f>1/3</f>
        <v>0.33333333333333331</v>
      </c>
      <c r="I32" s="355">
        <v>0.1</v>
      </c>
      <c r="J32" s="365">
        <f>G32*H32+(G32*H32*I32)</f>
        <v>12.833333333333332</v>
      </c>
      <c r="L32" s="350"/>
      <c r="M32" s="351"/>
    </row>
    <row r="33" spans="1:18" x14ac:dyDescent="0.4">
      <c r="B33" s="247"/>
      <c r="C33" s="922"/>
      <c r="D33" s="915"/>
      <c r="E33" s="352" t="s">
        <v>321</v>
      </c>
      <c r="F33" s="353" t="s">
        <v>12</v>
      </c>
      <c r="G33" s="354">
        <f>'اسعار الخامات'!E11</f>
        <v>80</v>
      </c>
      <c r="H33" s="356">
        <f>1/3*2</f>
        <v>0.66666666666666663</v>
      </c>
      <c r="I33" s="355">
        <v>0.1</v>
      </c>
      <c r="J33" s="356">
        <f>G33*H33+(G33*H33*I33)</f>
        <v>58.666666666666664</v>
      </c>
      <c r="L33" s="350"/>
      <c r="M33" s="351"/>
    </row>
    <row r="34" spans="1:18" x14ac:dyDescent="0.4">
      <c r="B34" s="247"/>
      <c r="C34" s="922"/>
      <c r="D34" s="354" t="s">
        <v>10</v>
      </c>
      <c r="E34" s="352" t="s">
        <v>322</v>
      </c>
      <c r="F34" s="353" t="s">
        <v>12</v>
      </c>
      <c r="G34" s="358">
        <v>1.2</v>
      </c>
      <c r="H34" s="353">
        <v>1</v>
      </c>
      <c r="I34" s="355"/>
      <c r="J34" s="356">
        <f>G34*H34+(G34*H34*I34)</f>
        <v>1.2</v>
      </c>
      <c r="L34" s="350"/>
      <c r="M34" s="351"/>
    </row>
    <row r="35" spans="1:18" ht="51" x14ac:dyDescent="0.4">
      <c r="B35" s="282"/>
      <c r="C35" s="923"/>
      <c r="D35" s="354" t="s">
        <v>11</v>
      </c>
      <c r="E35" s="354" t="s">
        <v>11</v>
      </c>
      <c r="F35" s="353" t="s">
        <v>12</v>
      </c>
      <c r="G35" s="358">
        <f>'اسعار المصنعيات'!D86</f>
        <v>10</v>
      </c>
      <c r="H35" s="353">
        <v>1</v>
      </c>
      <c r="I35" s="355">
        <v>0</v>
      </c>
      <c r="J35" s="356">
        <f>G35*H35+(G35*H35*I35)</f>
        <v>10</v>
      </c>
      <c r="L35" s="350"/>
      <c r="M35" s="351"/>
    </row>
    <row r="36" spans="1:18" s="379" customFormat="1" ht="38.25" x14ac:dyDescent="0.5">
      <c r="A36" s="376"/>
      <c r="B36" s="916" t="s">
        <v>13</v>
      </c>
      <c r="C36" s="916"/>
      <c r="D36" s="916"/>
      <c r="E36" s="916"/>
      <c r="F36" s="916"/>
      <c r="G36" s="916"/>
      <c r="H36" s="916"/>
      <c r="I36" s="916"/>
      <c r="J36" s="377">
        <f>SUM(J32:J35)</f>
        <v>82.7</v>
      </c>
      <c r="K36" s="377">
        <f>J36*1.25</f>
        <v>103.375</v>
      </c>
      <c r="L36" s="350"/>
      <c r="M36" s="351"/>
      <c r="N36" s="378"/>
      <c r="O36" s="378"/>
    </row>
    <row r="37" spans="1:18" x14ac:dyDescent="0.4">
      <c r="D37" s="343"/>
      <c r="E37" s="343"/>
      <c r="F37" s="343"/>
      <c r="G37" s="343"/>
      <c r="H37" s="343"/>
      <c r="I37" s="343"/>
      <c r="J37" s="343"/>
      <c r="L37" s="350"/>
      <c r="M37" s="351"/>
    </row>
    <row r="38" spans="1:18" ht="52.5" customHeight="1" x14ac:dyDescent="0.4">
      <c r="A38" s="347"/>
      <c r="B38" s="342" t="s">
        <v>0</v>
      </c>
      <c r="C38" s="342" t="s">
        <v>1</v>
      </c>
      <c r="D38" s="913" t="s">
        <v>2</v>
      </c>
      <c r="E38" s="913"/>
      <c r="F38" s="342" t="s">
        <v>3</v>
      </c>
      <c r="G38" s="342" t="s">
        <v>4</v>
      </c>
      <c r="H38" s="342" t="s">
        <v>5</v>
      </c>
      <c r="I38" s="342" t="s">
        <v>6</v>
      </c>
      <c r="J38" s="349" t="s">
        <v>7</v>
      </c>
      <c r="K38" s="350"/>
      <c r="L38" s="350"/>
      <c r="M38" s="351"/>
    </row>
    <row r="39" spans="1:18" ht="52.5" x14ac:dyDescent="0.4">
      <c r="B39" s="927"/>
      <c r="C39" s="921" t="s">
        <v>598</v>
      </c>
      <c r="D39" s="354"/>
      <c r="E39" s="352" t="s">
        <v>177</v>
      </c>
      <c r="F39" s="354" t="s">
        <v>12</v>
      </c>
      <c r="G39" s="358">
        <v>8</v>
      </c>
      <c r="H39" s="373">
        <v>1</v>
      </c>
      <c r="I39" s="374"/>
      <c r="J39" s="375">
        <f>G39*H39+(G39*H39*I39)</f>
        <v>8</v>
      </c>
      <c r="L39" s="350"/>
      <c r="M39" s="351"/>
      <c r="O39" s="366" t="s">
        <v>475</v>
      </c>
      <c r="P39" s="366" t="s">
        <v>603</v>
      </c>
      <c r="Q39" s="366" t="s">
        <v>70</v>
      </c>
      <c r="R39" s="366" t="s">
        <v>604</v>
      </c>
    </row>
    <row r="40" spans="1:18" x14ac:dyDescent="0.4">
      <c r="B40" s="928"/>
      <c r="C40" s="922"/>
      <c r="D40" s="921" t="s">
        <v>592</v>
      </c>
      <c r="E40" s="247" t="s">
        <v>593</v>
      </c>
      <c r="F40" s="247" t="s">
        <v>70</v>
      </c>
      <c r="G40" s="247">
        <f>R40</f>
        <v>400</v>
      </c>
      <c r="H40" s="247">
        <f>1/100</f>
        <v>0.01</v>
      </c>
      <c r="I40" s="247"/>
      <c r="J40" s="356">
        <f t="shared" ref="J40:J44" si="0">G40*H40+(G40*H40*I40)</f>
        <v>4</v>
      </c>
      <c r="L40" s="350"/>
      <c r="M40" s="351"/>
      <c r="O40" s="367" t="s">
        <v>599</v>
      </c>
      <c r="P40" s="367">
        <v>100</v>
      </c>
      <c r="Q40" s="367">
        <v>4</v>
      </c>
      <c r="R40" s="367">
        <f>Q40*P40</f>
        <v>400</v>
      </c>
    </row>
    <row r="41" spans="1:18" ht="52.5" x14ac:dyDescent="0.4">
      <c r="B41" s="928"/>
      <c r="C41" s="922"/>
      <c r="D41" s="923"/>
      <c r="E41" s="247" t="s">
        <v>594</v>
      </c>
      <c r="F41" s="247" t="s">
        <v>70</v>
      </c>
      <c r="G41" s="247">
        <f>R41</f>
        <v>200</v>
      </c>
      <c r="H41" s="247">
        <f t="shared" ref="H41:H44" si="1">1/100</f>
        <v>0.01</v>
      </c>
      <c r="I41" s="247"/>
      <c r="J41" s="356">
        <f t="shared" si="0"/>
        <v>2</v>
      </c>
      <c r="L41" s="350"/>
      <c r="M41" s="351"/>
      <c r="O41" s="367" t="s">
        <v>600</v>
      </c>
      <c r="P41" s="367">
        <v>50</v>
      </c>
      <c r="Q41" s="367">
        <v>4</v>
      </c>
      <c r="R41" s="367">
        <f t="shared" ref="R41" si="2">Q41*P41</f>
        <v>200</v>
      </c>
    </row>
    <row r="42" spans="1:18" ht="52.5" x14ac:dyDescent="0.4">
      <c r="B42" s="928"/>
      <c r="C42" s="922"/>
      <c r="D42" s="921" t="s">
        <v>10</v>
      </c>
      <c r="E42" s="247" t="s">
        <v>602</v>
      </c>
      <c r="F42" s="247" t="s">
        <v>597</v>
      </c>
      <c r="G42" s="247">
        <f>R43</f>
        <v>800</v>
      </c>
      <c r="H42" s="247">
        <f t="shared" si="1"/>
        <v>0.01</v>
      </c>
      <c r="I42" s="247"/>
      <c r="J42" s="247">
        <f t="shared" si="0"/>
        <v>8</v>
      </c>
      <c r="L42" s="350"/>
      <c r="M42" s="351"/>
      <c r="O42" s="366" t="s">
        <v>475</v>
      </c>
      <c r="P42" s="366" t="s">
        <v>603</v>
      </c>
      <c r="Q42" s="366" t="s">
        <v>70</v>
      </c>
      <c r="R42" s="366" t="s">
        <v>604</v>
      </c>
    </row>
    <row r="43" spans="1:18" x14ac:dyDescent="0.4">
      <c r="B43" s="928"/>
      <c r="C43" s="922"/>
      <c r="D43" s="922"/>
      <c r="E43" s="247" t="s">
        <v>595</v>
      </c>
      <c r="F43" s="247" t="s">
        <v>597</v>
      </c>
      <c r="G43" s="247">
        <f>R44</f>
        <v>640</v>
      </c>
      <c r="H43" s="247">
        <f t="shared" si="1"/>
        <v>0.01</v>
      </c>
      <c r="I43" s="247"/>
      <c r="J43" s="247">
        <f t="shared" si="0"/>
        <v>6.4</v>
      </c>
      <c r="L43" s="350"/>
      <c r="M43" s="351"/>
      <c r="O43" s="367" t="s">
        <v>602</v>
      </c>
      <c r="P43" s="367">
        <v>100</v>
      </c>
      <c r="Q43" s="367">
        <v>8</v>
      </c>
      <c r="R43" s="367">
        <f>Q43*P43</f>
        <v>800</v>
      </c>
    </row>
    <row r="44" spans="1:18" x14ac:dyDescent="0.4">
      <c r="B44" s="929"/>
      <c r="C44" s="923"/>
      <c r="D44" s="923"/>
      <c r="E44" s="247" t="s">
        <v>596</v>
      </c>
      <c r="F44" s="247" t="s">
        <v>597</v>
      </c>
      <c r="G44" s="247">
        <f>R45*2</f>
        <v>1200</v>
      </c>
      <c r="H44" s="247">
        <f t="shared" si="1"/>
        <v>0.01</v>
      </c>
      <c r="I44" s="247"/>
      <c r="J44" s="247">
        <f t="shared" si="0"/>
        <v>12</v>
      </c>
      <c r="L44" s="350"/>
      <c r="M44" s="351"/>
      <c r="O44" s="367" t="s">
        <v>595</v>
      </c>
      <c r="P44" s="367">
        <v>80</v>
      </c>
      <c r="Q44" s="367">
        <v>8</v>
      </c>
      <c r="R44" s="367">
        <f>Q44*P44</f>
        <v>640</v>
      </c>
    </row>
    <row r="45" spans="1:18" s="379" customFormat="1" ht="38.25" x14ac:dyDescent="0.5">
      <c r="A45" s="376"/>
      <c r="B45" s="916" t="s">
        <v>13</v>
      </c>
      <c r="C45" s="916"/>
      <c r="D45" s="916"/>
      <c r="E45" s="916"/>
      <c r="F45" s="916"/>
      <c r="G45" s="916"/>
      <c r="H45" s="916"/>
      <c r="I45" s="916"/>
      <c r="J45" s="377">
        <f>SUM(J39:J44)</f>
        <v>40.4</v>
      </c>
      <c r="K45" s="377">
        <f>J45*1.25</f>
        <v>50.5</v>
      </c>
      <c r="L45" s="350"/>
      <c r="M45" s="351"/>
      <c r="O45" s="367" t="s">
        <v>601</v>
      </c>
      <c r="P45" s="367">
        <v>75</v>
      </c>
      <c r="Q45" s="367">
        <v>8</v>
      </c>
      <c r="R45" s="367">
        <f>Q45*P45</f>
        <v>600</v>
      </c>
    </row>
    <row r="46" spans="1:18" x14ac:dyDescent="0.4">
      <c r="D46" s="343"/>
      <c r="E46" s="343"/>
      <c r="F46" s="343"/>
      <c r="G46" s="343"/>
      <c r="H46" s="343"/>
      <c r="I46" s="343"/>
      <c r="J46" s="343"/>
      <c r="L46" s="350"/>
      <c r="M46" s="351"/>
    </row>
    <row r="47" spans="1:18" ht="52.5" customHeight="1" thickBot="1" x14ac:dyDescent="0.45">
      <c r="A47" s="347"/>
      <c r="B47" s="342" t="s">
        <v>0</v>
      </c>
      <c r="C47" s="342" t="s">
        <v>1</v>
      </c>
      <c r="D47" s="913" t="s">
        <v>2</v>
      </c>
      <c r="E47" s="913"/>
      <c r="F47" s="342" t="s">
        <v>3</v>
      </c>
      <c r="G47" s="342" t="s">
        <v>4</v>
      </c>
      <c r="H47" s="342" t="s">
        <v>5</v>
      </c>
      <c r="I47" s="342" t="s">
        <v>6</v>
      </c>
      <c r="J47" s="349" t="s">
        <v>7</v>
      </c>
      <c r="K47" s="350"/>
      <c r="L47" s="350"/>
      <c r="M47" s="351"/>
    </row>
    <row r="48" spans="1:18" ht="53.25" thickBot="1" x14ac:dyDescent="0.45">
      <c r="B48" s="926"/>
      <c r="C48" s="914" t="s">
        <v>610</v>
      </c>
      <c r="D48" s="914" t="s">
        <v>592</v>
      </c>
      <c r="E48" s="247" t="s">
        <v>605</v>
      </c>
      <c r="F48" s="247" t="s">
        <v>70</v>
      </c>
      <c r="G48" s="247">
        <f>R49</f>
        <v>100</v>
      </c>
      <c r="H48" s="368">
        <f>1/50</f>
        <v>0.02</v>
      </c>
      <c r="I48" s="247"/>
      <c r="J48" s="356">
        <f t="shared" ref="J48:J52" si="3">G48*H48+(G48*H48*I48)</f>
        <v>2</v>
      </c>
      <c r="K48" s="360" t="s">
        <v>613</v>
      </c>
      <c r="L48" s="350"/>
      <c r="M48" s="351"/>
      <c r="O48" s="366" t="s">
        <v>475</v>
      </c>
      <c r="P48" s="366" t="s">
        <v>603</v>
      </c>
      <c r="Q48" s="366" t="s">
        <v>70</v>
      </c>
      <c r="R48" s="366" t="s">
        <v>604</v>
      </c>
    </row>
    <row r="49" spans="1:18" x14ac:dyDescent="0.4">
      <c r="B49" s="926"/>
      <c r="C49" s="914"/>
      <c r="D49" s="914"/>
      <c r="E49" s="247" t="s">
        <v>606</v>
      </c>
      <c r="F49" s="247" t="s">
        <v>70</v>
      </c>
      <c r="G49" s="247">
        <f>R50</f>
        <v>50</v>
      </c>
      <c r="H49" s="368">
        <f t="shared" ref="H49:H51" si="4">1/50</f>
        <v>0.02</v>
      </c>
      <c r="I49" s="247"/>
      <c r="J49" s="356">
        <f t="shared" si="3"/>
        <v>1</v>
      </c>
      <c r="L49" s="350"/>
      <c r="M49" s="351"/>
      <c r="O49" s="367" t="s">
        <v>599</v>
      </c>
      <c r="P49" s="367">
        <v>100</v>
      </c>
      <c r="Q49" s="367">
        <v>1</v>
      </c>
      <c r="R49" s="367">
        <f>Q49*P49</f>
        <v>100</v>
      </c>
    </row>
    <row r="50" spans="1:18" ht="52.5" x14ac:dyDescent="0.4">
      <c r="B50" s="926"/>
      <c r="C50" s="914"/>
      <c r="D50" s="914"/>
      <c r="E50" s="247" t="s">
        <v>607</v>
      </c>
      <c r="F50" s="247" t="s">
        <v>70</v>
      </c>
      <c r="G50" s="247">
        <f>R51</f>
        <v>200</v>
      </c>
      <c r="H50" s="368">
        <f t="shared" si="4"/>
        <v>0.02</v>
      </c>
      <c r="I50" s="247"/>
      <c r="J50" s="356">
        <f t="shared" si="3"/>
        <v>4</v>
      </c>
      <c r="L50" s="350"/>
      <c r="M50" s="351"/>
      <c r="O50" s="367" t="s">
        <v>600</v>
      </c>
      <c r="P50" s="367">
        <v>50</v>
      </c>
      <c r="Q50" s="367">
        <v>1</v>
      </c>
      <c r="R50" s="367">
        <f t="shared" ref="R50" si="5">Q50*P50</f>
        <v>50</v>
      </c>
    </row>
    <row r="51" spans="1:18" x14ac:dyDescent="0.4">
      <c r="B51" s="926"/>
      <c r="C51" s="914"/>
      <c r="D51" s="247" t="s">
        <v>10</v>
      </c>
      <c r="E51" s="247" t="s">
        <v>595</v>
      </c>
      <c r="F51" s="247" t="s">
        <v>597</v>
      </c>
      <c r="G51" s="247">
        <f>R53</f>
        <v>640</v>
      </c>
      <c r="H51" s="368">
        <f t="shared" si="4"/>
        <v>0.02</v>
      </c>
      <c r="I51" s="247"/>
      <c r="J51" s="247">
        <f t="shared" si="3"/>
        <v>12.8</v>
      </c>
      <c r="L51" s="350"/>
      <c r="M51" s="351"/>
      <c r="O51" s="367" t="s">
        <v>608</v>
      </c>
      <c r="P51" s="367">
        <v>40</v>
      </c>
      <c r="Q51" s="367">
        <v>5</v>
      </c>
      <c r="R51" s="367">
        <f t="shared" ref="R51" si="6">Q51*P51</f>
        <v>200</v>
      </c>
    </row>
    <row r="52" spans="1:18" ht="52.5" x14ac:dyDescent="0.4">
      <c r="B52" s="926"/>
      <c r="C52" s="914"/>
      <c r="D52" s="247" t="s">
        <v>609</v>
      </c>
      <c r="E52" s="352" t="s">
        <v>21</v>
      </c>
      <c r="F52" s="352" t="s">
        <v>12</v>
      </c>
      <c r="G52" s="352">
        <f>'اسعار الخامات'!E8</f>
        <v>35</v>
      </c>
      <c r="H52" s="352">
        <v>1</v>
      </c>
      <c r="I52" s="372"/>
      <c r="J52" s="352">
        <f t="shared" si="3"/>
        <v>35</v>
      </c>
      <c r="L52" s="350"/>
      <c r="M52" s="351"/>
      <c r="O52" s="366" t="s">
        <v>475</v>
      </c>
      <c r="P52" s="366" t="s">
        <v>603</v>
      </c>
      <c r="Q52" s="366" t="s">
        <v>70</v>
      </c>
      <c r="R52" s="366" t="s">
        <v>604</v>
      </c>
    </row>
    <row r="53" spans="1:18" s="379" customFormat="1" ht="38.25" x14ac:dyDescent="0.5">
      <c r="A53" s="376"/>
      <c r="B53" s="916" t="s">
        <v>13</v>
      </c>
      <c r="C53" s="916"/>
      <c r="D53" s="916"/>
      <c r="E53" s="916"/>
      <c r="F53" s="916"/>
      <c r="G53" s="916"/>
      <c r="H53" s="916"/>
      <c r="I53" s="916"/>
      <c r="J53" s="377">
        <f>SUM(J48:J52)</f>
        <v>54.8</v>
      </c>
      <c r="K53" s="377">
        <f>J53*1.25</f>
        <v>68.5</v>
      </c>
      <c r="L53" s="350"/>
      <c r="M53" s="351"/>
      <c r="O53" s="367" t="s">
        <v>595</v>
      </c>
      <c r="P53" s="367">
        <v>80</v>
      </c>
      <c r="Q53" s="367">
        <v>8</v>
      </c>
      <c r="R53" s="367">
        <f>Q53*P53</f>
        <v>640</v>
      </c>
    </row>
    <row r="54" spans="1:18" x14ac:dyDescent="0.4">
      <c r="D54" s="343"/>
      <c r="E54" s="343"/>
      <c r="F54" s="343"/>
      <c r="G54" s="343"/>
      <c r="H54" s="343"/>
      <c r="I54" s="343"/>
      <c r="J54" s="343"/>
      <c r="L54" s="350"/>
      <c r="M54" s="351"/>
    </row>
    <row r="55" spans="1:18" x14ac:dyDescent="0.4">
      <c r="D55" s="343"/>
      <c r="E55" s="343"/>
      <c r="F55" s="343"/>
      <c r="G55" s="343"/>
      <c r="H55" s="343"/>
      <c r="I55" s="343"/>
      <c r="J55" s="343"/>
      <c r="L55" s="350"/>
      <c r="M55" s="351"/>
    </row>
    <row r="56" spans="1:18" x14ac:dyDescent="0.4">
      <c r="C56" s="346"/>
      <c r="D56" s="311"/>
      <c r="E56" s="346"/>
      <c r="F56" s="343"/>
      <c r="G56" s="343"/>
      <c r="H56" s="343"/>
      <c r="I56" s="343"/>
      <c r="J56" s="343"/>
      <c r="L56" s="350"/>
      <c r="M56" s="351"/>
    </row>
    <row r="57" spans="1:18" x14ac:dyDescent="0.4">
      <c r="C57" s="346"/>
      <c r="D57" s="311"/>
      <c r="E57" s="346"/>
      <c r="F57" s="343"/>
      <c r="G57" s="343"/>
      <c r="H57" s="343"/>
      <c r="I57" s="343"/>
      <c r="J57" s="343"/>
      <c r="L57" s="350"/>
      <c r="M57" s="351"/>
    </row>
    <row r="58" spans="1:18" x14ac:dyDescent="0.4">
      <c r="C58" s="346"/>
      <c r="D58" s="311"/>
      <c r="E58" s="346"/>
      <c r="F58" s="343"/>
      <c r="G58" s="343"/>
      <c r="H58" s="343"/>
      <c r="I58" s="343"/>
      <c r="J58" s="343"/>
      <c r="L58" s="350"/>
      <c r="M58" s="351"/>
    </row>
    <row r="59" spans="1:18" x14ac:dyDescent="0.4">
      <c r="C59" s="346"/>
      <c r="D59" s="311"/>
      <c r="E59" s="346"/>
      <c r="F59" s="343"/>
      <c r="G59" s="343"/>
      <c r="H59" s="343"/>
      <c r="I59" s="343"/>
      <c r="J59" s="343"/>
      <c r="L59" s="350"/>
      <c r="M59" s="351"/>
    </row>
    <row r="60" spans="1:18" x14ac:dyDescent="0.4">
      <c r="C60" s="295"/>
      <c r="D60" s="311"/>
      <c r="E60" s="346"/>
      <c r="F60" s="343"/>
      <c r="G60" s="343"/>
      <c r="H60" s="343"/>
      <c r="I60" s="343"/>
      <c r="J60" s="343"/>
      <c r="L60" s="350"/>
      <c r="M60" s="351"/>
    </row>
    <row r="61" spans="1:18" x14ac:dyDescent="0.4">
      <c r="C61" s="311"/>
      <c r="D61" s="311"/>
      <c r="E61" s="346"/>
      <c r="F61" s="343"/>
      <c r="G61" s="343"/>
      <c r="H61" s="343"/>
      <c r="I61" s="343"/>
      <c r="J61" s="343"/>
      <c r="L61" s="350"/>
      <c r="M61" s="351"/>
    </row>
    <row r="62" spans="1:18" x14ac:dyDescent="0.4">
      <c r="C62" s="311"/>
      <c r="D62" s="311"/>
      <c r="E62" s="346"/>
      <c r="F62" s="343"/>
      <c r="G62" s="343"/>
      <c r="H62" s="343"/>
      <c r="I62" s="343"/>
      <c r="J62" s="343"/>
      <c r="L62" s="350"/>
      <c r="M62" s="351"/>
    </row>
    <row r="63" spans="1:18" x14ac:dyDescent="0.4">
      <c r="C63" s="311"/>
      <c r="D63" s="311"/>
      <c r="E63" s="346"/>
      <c r="F63" s="343"/>
      <c r="G63" s="343"/>
      <c r="H63" s="343"/>
      <c r="I63" s="343"/>
      <c r="J63" s="343"/>
      <c r="L63" s="350"/>
      <c r="M63" s="351"/>
    </row>
    <row r="64" spans="1:18" x14ac:dyDescent="0.4">
      <c r="C64" s="311"/>
      <c r="D64" s="311"/>
      <c r="E64" s="346"/>
      <c r="F64" s="343"/>
      <c r="G64" s="343"/>
      <c r="H64" s="343"/>
      <c r="I64" s="343"/>
      <c r="J64" s="343"/>
      <c r="L64" s="350"/>
      <c r="M64" s="351"/>
    </row>
    <row r="65" spans="3:13" x14ac:dyDescent="0.4">
      <c r="C65" s="314"/>
      <c r="D65" s="311"/>
      <c r="E65" s="346"/>
      <c r="F65" s="343"/>
      <c r="G65" s="343"/>
      <c r="H65" s="343"/>
      <c r="I65" s="343"/>
      <c r="J65" s="343"/>
      <c r="L65" s="350"/>
      <c r="M65" s="351"/>
    </row>
    <row r="66" spans="3:13" x14ac:dyDescent="0.4">
      <c r="C66" s="311"/>
      <c r="D66" s="311"/>
      <c r="E66" s="346"/>
      <c r="F66" s="343"/>
      <c r="G66" s="343"/>
      <c r="H66" s="343"/>
      <c r="I66" s="343"/>
      <c r="J66" s="343"/>
      <c r="L66" s="350"/>
      <c r="M66" s="351"/>
    </row>
    <row r="67" spans="3:13" x14ac:dyDescent="0.4">
      <c r="C67" s="311"/>
      <c r="D67" s="311"/>
      <c r="E67" s="346"/>
      <c r="F67" s="343"/>
      <c r="G67" s="343"/>
      <c r="H67" s="343"/>
      <c r="I67" s="343"/>
      <c r="J67" s="343"/>
      <c r="L67" s="350"/>
      <c r="M67" s="351"/>
    </row>
    <row r="68" spans="3:13" x14ac:dyDescent="0.4">
      <c r="D68" s="343"/>
      <c r="E68" s="343"/>
      <c r="F68" s="343"/>
      <c r="G68" s="343"/>
      <c r="H68" s="343"/>
      <c r="I68" s="343"/>
      <c r="J68" s="343"/>
      <c r="L68" s="350"/>
      <c r="M68" s="351"/>
    </row>
    <row r="69" spans="3:13" x14ac:dyDescent="0.4">
      <c r="D69" s="343"/>
      <c r="E69" s="343"/>
      <c r="F69" s="343"/>
      <c r="G69" s="343"/>
      <c r="H69" s="343"/>
      <c r="I69" s="343"/>
      <c r="J69" s="343"/>
      <c r="L69" s="350"/>
      <c r="M69" s="351"/>
    </row>
    <row r="70" spans="3:13" x14ac:dyDescent="0.4">
      <c r="D70" s="343"/>
      <c r="E70" s="343"/>
      <c r="F70" s="343"/>
      <c r="G70" s="343"/>
      <c r="H70" s="343"/>
      <c r="I70" s="343"/>
      <c r="J70" s="343"/>
      <c r="L70" s="350"/>
    </row>
    <row r="71" spans="3:13" x14ac:dyDescent="0.4">
      <c r="D71" s="343"/>
      <c r="E71" s="343"/>
      <c r="F71" s="343"/>
      <c r="G71" s="343"/>
      <c r="H71" s="343"/>
      <c r="I71" s="343"/>
      <c r="J71" s="343"/>
      <c r="L71" s="350"/>
    </row>
    <row r="72" spans="3:13" x14ac:dyDescent="0.4">
      <c r="D72" s="343"/>
      <c r="E72" s="343"/>
      <c r="F72" s="343"/>
      <c r="G72" s="343"/>
      <c r="H72" s="343"/>
      <c r="I72" s="343"/>
      <c r="J72" s="343"/>
      <c r="L72" s="350"/>
    </row>
    <row r="73" spans="3:13" x14ac:dyDescent="0.4">
      <c r="D73" s="343"/>
      <c r="E73" s="343"/>
      <c r="F73" s="343"/>
      <c r="G73" s="343"/>
      <c r="H73" s="343"/>
      <c r="I73" s="343"/>
      <c r="J73" s="343"/>
      <c r="L73" s="350"/>
    </row>
    <row r="74" spans="3:13" x14ac:dyDescent="0.4">
      <c r="D74" s="343"/>
      <c r="E74" s="343"/>
      <c r="F74" s="343"/>
      <c r="G74" s="343"/>
      <c r="H74" s="343"/>
      <c r="I74" s="343"/>
      <c r="J74" s="343"/>
      <c r="L74" s="350"/>
    </row>
    <row r="75" spans="3:13" x14ac:dyDescent="0.4">
      <c r="D75" s="343"/>
      <c r="E75" s="343"/>
      <c r="F75" s="343"/>
      <c r="G75" s="343"/>
      <c r="H75" s="343"/>
      <c r="I75" s="343"/>
      <c r="J75" s="343"/>
      <c r="L75" s="350"/>
    </row>
    <row r="76" spans="3:13" x14ac:dyDescent="0.4">
      <c r="D76" s="343"/>
      <c r="E76" s="343"/>
      <c r="F76" s="343"/>
      <c r="G76" s="343"/>
      <c r="H76" s="343"/>
      <c r="I76" s="343"/>
      <c r="J76" s="343"/>
      <c r="L76" s="350"/>
    </row>
    <row r="77" spans="3:13" x14ac:dyDescent="0.4">
      <c r="D77" s="343"/>
      <c r="E77" s="343"/>
      <c r="F77" s="343"/>
      <c r="G77" s="343"/>
      <c r="H77" s="343"/>
      <c r="I77" s="343"/>
      <c r="J77" s="343"/>
      <c r="L77" s="350"/>
    </row>
    <row r="78" spans="3:13" x14ac:dyDescent="0.4">
      <c r="D78" s="343"/>
      <c r="E78" s="343"/>
      <c r="F78" s="343"/>
      <c r="G78" s="343"/>
      <c r="H78" s="343"/>
      <c r="I78" s="343"/>
      <c r="J78" s="343"/>
      <c r="L78" s="350"/>
    </row>
    <row r="79" spans="3:13" x14ac:dyDescent="0.4">
      <c r="D79" s="343"/>
      <c r="E79" s="343"/>
      <c r="F79" s="343"/>
      <c r="G79" s="343"/>
      <c r="H79" s="343"/>
      <c r="I79" s="343"/>
      <c r="J79" s="343"/>
      <c r="L79" s="350"/>
    </row>
    <row r="80" spans="3:13" x14ac:dyDescent="0.4">
      <c r="D80" s="343"/>
      <c r="E80" s="343"/>
      <c r="F80" s="343"/>
      <c r="G80" s="343"/>
      <c r="H80" s="343"/>
      <c r="I80" s="343"/>
      <c r="J80" s="343"/>
      <c r="L80" s="350"/>
    </row>
    <row r="81" spans="4:12" x14ac:dyDescent="0.4">
      <c r="D81" s="343"/>
      <c r="E81" s="343"/>
      <c r="F81" s="343"/>
      <c r="G81" s="343"/>
      <c r="H81" s="343"/>
      <c r="I81" s="343"/>
      <c r="J81" s="343"/>
      <c r="L81" s="350"/>
    </row>
    <row r="82" spans="4:12" x14ac:dyDescent="0.4">
      <c r="D82" s="343"/>
      <c r="E82" s="343"/>
      <c r="F82" s="343"/>
      <c r="G82" s="343"/>
      <c r="H82" s="343"/>
      <c r="I82" s="343"/>
      <c r="J82" s="343"/>
      <c r="L82" s="350"/>
    </row>
    <row r="83" spans="4:12" x14ac:dyDescent="0.4">
      <c r="D83" s="343"/>
      <c r="E83" s="343"/>
      <c r="F83" s="343"/>
      <c r="G83" s="343"/>
      <c r="H83" s="343"/>
      <c r="I83" s="343"/>
      <c r="J83" s="343"/>
      <c r="L83" s="350"/>
    </row>
    <row r="84" spans="4:12" x14ac:dyDescent="0.4">
      <c r="D84" s="343"/>
      <c r="E84" s="343"/>
      <c r="F84" s="343"/>
      <c r="G84" s="343"/>
      <c r="H84" s="343"/>
      <c r="I84" s="343"/>
      <c r="J84" s="343"/>
      <c r="L84" s="350"/>
    </row>
    <row r="85" spans="4:12" x14ac:dyDescent="0.4">
      <c r="D85" s="343"/>
      <c r="E85" s="343"/>
      <c r="F85" s="343"/>
      <c r="G85" s="343"/>
      <c r="H85" s="343"/>
      <c r="I85" s="343"/>
      <c r="J85" s="343"/>
      <c r="L85" s="350"/>
    </row>
    <row r="86" spans="4:12" x14ac:dyDescent="0.4">
      <c r="D86" s="343"/>
      <c r="E86" s="343"/>
      <c r="F86" s="343"/>
      <c r="G86" s="343"/>
      <c r="H86" s="343"/>
      <c r="I86" s="343"/>
      <c r="J86" s="343"/>
      <c r="L86" s="350"/>
    </row>
    <row r="87" spans="4:12" x14ac:dyDescent="0.4">
      <c r="D87" s="343"/>
      <c r="E87" s="343"/>
      <c r="F87" s="343"/>
      <c r="G87" s="343"/>
      <c r="H87" s="343"/>
      <c r="I87" s="343"/>
      <c r="J87" s="343"/>
      <c r="L87" s="350"/>
    </row>
    <row r="88" spans="4:12" x14ac:dyDescent="0.4">
      <c r="D88" s="343"/>
      <c r="E88" s="343"/>
      <c r="F88" s="343"/>
      <c r="G88" s="343"/>
      <c r="H88" s="343"/>
      <c r="I88" s="343"/>
      <c r="J88" s="343"/>
      <c r="L88" s="350"/>
    </row>
    <row r="89" spans="4:12" x14ac:dyDescent="0.4">
      <c r="D89" s="343"/>
      <c r="E89" s="343"/>
      <c r="F89" s="343"/>
      <c r="G89" s="343"/>
      <c r="H89" s="343"/>
      <c r="I89" s="343"/>
      <c r="J89" s="343"/>
      <c r="L89" s="350"/>
    </row>
    <row r="90" spans="4:12" x14ac:dyDescent="0.4">
      <c r="D90" s="343"/>
      <c r="E90" s="343"/>
      <c r="F90" s="343"/>
      <c r="G90" s="343"/>
      <c r="H90" s="343"/>
      <c r="I90" s="343"/>
      <c r="J90" s="343"/>
      <c r="L90" s="350"/>
    </row>
    <row r="91" spans="4:12" x14ac:dyDescent="0.4">
      <c r="D91" s="343"/>
      <c r="E91" s="343"/>
      <c r="F91" s="343"/>
      <c r="G91" s="343"/>
      <c r="H91" s="343"/>
      <c r="I91" s="343"/>
      <c r="J91" s="343"/>
      <c r="L91" s="350"/>
    </row>
    <row r="92" spans="4:12" x14ac:dyDescent="0.4">
      <c r="D92" s="343"/>
      <c r="E92" s="343"/>
      <c r="F92" s="343"/>
      <c r="G92" s="343"/>
      <c r="H92" s="343"/>
      <c r="I92" s="343"/>
      <c r="J92" s="343"/>
      <c r="L92" s="350"/>
    </row>
    <row r="93" spans="4:12" x14ac:dyDescent="0.4">
      <c r="D93" s="343"/>
      <c r="E93" s="343"/>
      <c r="F93" s="343"/>
      <c r="G93" s="343"/>
      <c r="H93" s="343"/>
      <c r="I93" s="343"/>
      <c r="J93" s="343"/>
      <c r="L93" s="350"/>
    </row>
    <row r="94" spans="4:12" x14ac:dyDescent="0.4">
      <c r="D94" s="343"/>
      <c r="E94" s="343"/>
      <c r="F94" s="343"/>
      <c r="G94" s="343"/>
      <c r="H94" s="343"/>
      <c r="I94" s="343"/>
      <c r="J94" s="343"/>
      <c r="L94" s="350"/>
    </row>
    <row r="95" spans="4:12" x14ac:dyDescent="0.4">
      <c r="D95" s="343"/>
      <c r="E95" s="343"/>
      <c r="F95" s="343"/>
      <c r="G95" s="343"/>
      <c r="H95" s="343"/>
      <c r="I95" s="343"/>
      <c r="J95" s="343"/>
      <c r="L95" s="350"/>
    </row>
    <row r="96" spans="4:12" x14ac:dyDescent="0.4">
      <c r="D96" s="343"/>
      <c r="E96" s="343"/>
      <c r="F96" s="343"/>
      <c r="G96" s="343"/>
      <c r="H96" s="343"/>
      <c r="I96" s="343"/>
      <c r="J96" s="343"/>
      <c r="L96" s="350"/>
    </row>
    <row r="97" spans="4:12" x14ac:dyDescent="0.4">
      <c r="D97" s="343"/>
      <c r="E97" s="343"/>
      <c r="F97" s="343"/>
      <c r="G97" s="343"/>
      <c r="H97" s="343"/>
      <c r="I97" s="343"/>
      <c r="J97" s="343"/>
      <c r="L97" s="350"/>
    </row>
    <row r="98" spans="4:12" x14ac:dyDescent="0.4">
      <c r="D98" s="343"/>
      <c r="E98" s="343"/>
      <c r="F98" s="343"/>
      <c r="G98" s="343"/>
      <c r="H98" s="343"/>
      <c r="I98" s="343"/>
      <c r="J98" s="343"/>
      <c r="L98" s="350"/>
    </row>
    <row r="99" spans="4:12" x14ac:dyDescent="0.4">
      <c r="D99" s="343"/>
      <c r="E99" s="343"/>
      <c r="F99" s="343"/>
      <c r="G99" s="343"/>
      <c r="H99" s="343"/>
      <c r="I99" s="343"/>
      <c r="J99" s="343"/>
      <c r="L99" s="350"/>
    </row>
    <row r="100" spans="4:12" x14ac:dyDescent="0.4">
      <c r="D100" s="343"/>
      <c r="E100" s="343"/>
      <c r="F100" s="343"/>
      <c r="G100" s="343"/>
      <c r="H100" s="343"/>
      <c r="I100" s="343"/>
      <c r="J100" s="343"/>
      <c r="L100" s="350"/>
    </row>
    <row r="101" spans="4:12" x14ac:dyDescent="0.4">
      <c r="D101" s="343"/>
      <c r="E101" s="343"/>
      <c r="F101" s="343"/>
      <c r="G101" s="343"/>
      <c r="H101" s="343"/>
      <c r="I101" s="343"/>
      <c r="J101" s="343"/>
      <c r="L101" s="350"/>
    </row>
    <row r="102" spans="4:12" x14ac:dyDescent="0.4">
      <c r="D102" s="343"/>
      <c r="E102" s="343"/>
      <c r="F102" s="343"/>
      <c r="G102" s="343"/>
      <c r="H102" s="343"/>
      <c r="I102" s="343"/>
      <c r="J102" s="343"/>
      <c r="L102" s="350"/>
    </row>
    <row r="103" spans="4:12" x14ac:dyDescent="0.4">
      <c r="D103" s="343"/>
      <c r="E103" s="343"/>
      <c r="F103" s="343"/>
      <c r="G103" s="343"/>
      <c r="H103" s="343"/>
      <c r="I103" s="343"/>
      <c r="J103" s="343"/>
      <c r="L103" s="350"/>
    </row>
    <row r="104" spans="4:12" x14ac:dyDescent="0.4">
      <c r="D104" s="343"/>
      <c r="E104" s="343"/>
      <c r="F104" s="343"/>
      <c r="G104" s="343"/>
      <c r="H104" s="343"/>
      <c r="I104" s="343"/>
      <c r="J104" s="343"/>
      <c r="L104" s="350"/>
    </row>
    <row r="105" spans="4:12" x14ac:dyDescent="0.4">
      <c r="D105" s="343"/>
      <c r="E105" s="343"/>
      <c r="F105" s="343"/>
      <c r="G105" s="343"/>
      <c r="H105" s="343"/>
      <c r="I105" s="343"/>
      <c r="J105" s="343"/>
      <c r="L105" s="350"/>
    </row>
    <row r="106" spans="4:12" x14ac:dyDescent="0.4">
      <c r="D106" s="343"/>
      <c r="E106" s="343"/>
      <c r="F106" s="343"/>
      <c r="G106" s="343"/>
      <c r="H106" s="343"/>
      <c r="I106" s="343"/>
      <c r="J106" s="343"/>
      <c r="L106" s="350"/>
    </row>
    <row r="107" spans="4:12" x14ac:dyDescent="0.4">
      <c r="D107" s="343"/>
      <c r="E107" s="343"/>
      <c r="F107" s="343"/>
      <c r="G107" s="343"/>
      <c r="H107" s="343"/>
      <c r="I107" s="343"/>
      <c r="J107" s="343"/>
      <c r="L107" s="350"/>
    </row>
    <row r="108" spans="4:12" x14ac:dyDescent="0.4">
      <c r="D108" s="343"/>
      <c r="E108" s="343"/>
      <c r="F108" s="343"/>
      <c r="G108" s="343"/>
      <c r="H108" s="343"/>
      <c r="I108" s="343"/>
      <c r="J108" s="343"/>
      <c r="L108" s="350"/>
    </row>
    <row r="109" spans="4:12" x14ac:dyDescent="0.4">
      <c r="D109" s="343"/>
      <c r="E109" s="343"/>
      <c r="F109" s="343"/>
      <c r="G109" s="343"/>
      <c r="H109" s="343"/>
      <c r="I109" s="343"/>
      <c r="J109" s="343"/>
      <c r="L109" s="350"/>
    </row>
    <row r="110" spans="4:12" x14ac:dyDescent="0.4">
      <c r="D110" s="343"/>
      <c r="E110" s="343"/>
      <c r="F110" s="343"/>
      <c r="G110" s="343"/>
      <c r="H110" s="343"/>
      <c r="I110" s="343"/>
      <c r="J110" s="343"/>
      <c r="L110" s="350"/>
    </row>
    <row r="111" spans="4:12" x14ac:dyDescent="0.4">
      <c r="D111" s="343"/>
      <c r="E111" s="343"/>
      <c r="F111" s="343"/>
      <c r="G111" s="343"/>
      <c r="H111" s="343"/>
      <c r="I111" s="343"/>
      <c r="J111" s="343"/>
      <c r="L111" s="350"/>
    </row>
    <row r="112" spans="4:12" x14ac:dyDescent="0.4">
      <c r="D112" s="343"/>
      <c r="E112" s="343"/>
      <c r="F112" s="343"/>
      <c r="G112" s="343"/>
      <c r="H112" s="343"/>
      <c r="I112" s="343"/>
      <c r="J112" s="343"/>
      <c r="L112" s="350"/>
    </row>
    <row r="113" spans="4:12" x14ac:dyDescent="0.4">
      <c r="D113" s="343"/>
      <c r="E113" s="343"/>
      <c r="F113" s="343"/>
      <c r="G113" s="343"/>
      <c r="H113" s="343"/>
      <c r="I113" s="343"/>
      <c r="J113" s="343"/>
      <c r="L113" s="350"/>
    </row>
    <row r="114" spans="4:12" x14ac:dyDescent="0.4">
      <c r="D114" s="343"/>
      <c r="E114" s="343"/>
      <c r="F114" s="343"/>
      <c r="G114" s="343"/>
      <c r="H114" s="343"/>
      <c r="I114" s="343"/>
      <c r="J114" s="343"/>
      <c r="L114" s="350"/>
    </row>
    <row r="115" spans="4:12" x14ac:dyDescent="0.4">
      <c r="D115" s="343"/>
      <c r="E115" s="343"/>
      <c r="F115" s="343"/>
      <c r="G115" s="343"/>
      <c r="H115" s="343"/>
      <c r="I115" s="343"/>
      <c r="J115" s="343"/>
      <c r="L115" s="350"/>
    </row>
    <row r="116" spans="4:12" x14ac:dyDescent="0.4">
      <c r="D116" s="343"/>
      <c r="E116" s="343"/>
      <c r="F116" s="343"/>
      <c r="G116" s="343"/>
      <c r="H116" s="343"/>
      <c r="I116" s="343"/>
      <c r="J116" s="343"/>
      <c r="L116" s="350"/>
    </row>
    <row r="117" spans="4:12" x14ac:dyDescent="0.4">
      <c r="D117" s="343"/>
      <c r="E117" s="343"/>
      <c r="F117" s="343"/>
      <c r="G117" s="343"/>
      <c r="H117" s="343"/>
      <c r="I117" s="343"/>
      <c r="J117" s="343"/>
      <c r="L117" s="350"/>
    </row>
    <row r="118" spans="4:12" x14ac:dyDescent="0.4">
      <c r="D118" s="343"/>
      <c r="E118" s="343"/>
      <c r="F118" s="343"/>
      <c r="G118" s="343"/>
      <c r="H118" s="343"/>
      <c r="I118" s="343"/>
      <c r="J118" s="343"/>
      <c r="L118" s="350"/>
    </row>
    <row r="119" spans="4:12" x14ac:dyDescent="0.4">
      <c r="D119" s="343"/>
      <c r="E119" s="343"/>
      <c r="F119" s="343"/>
      <c r="G119" s="343"/>
      <c r="H119" s="343"/>
      <c r="I119" s="343"/>
      <c r="J119" s="343"/>
      <c r="L119" s="350"/>
    </row>
    <row r="120" spans="4:12" x14ac:dyDescent="0.4">
      <c r="D120" s="343"/>
      <c r="E120" s="343"/>
      <c r="F120" s="343"/>
      <c r="G120" s="343"/>
      <c r="H120" s="343"/>
      <c r="I120" s="343"/>
      <c r="J120" s="343"/>
    </row>
    <row r="121" spans="4:12" x14ac:dyDescent="0.4">
      <c r="D121" s="343"/>
      <c r="E121" s="343"/>
      <c r="F121" s="343"/>
      <c r="G121" s="343"/>
      <c r="H121" s="343"/>
      <c r="I121" s="343"/>
      <c r="J121" s="343"/>
    </row>
    <row r="122" spans="4:12" x14ac:dyDescent="0.4">
      <c r="D122" s="343"/>
      <c r="E122" s="343"/>
      <c r="F122" s="343"/>
      <c r="G122" s="343"/>
      <c r="H122" s="343"/>
      <c r="I122" s="343"/>
      <c r="J122" s="343"/>
    </row>
    <row r="123" spans="4:12" x14ac:dyDescent="0.4">
      <c r="D123" s="343"/>
      <c r="E123" s="343"/>
      <c r="F123" s="343"/>
      <c r="G123" s="343"/>
      <c r="H123" s="343"/>
      <c r="I123" s="343"/>
      <c r="J123" s="343"/>
    </row>
    <row r="124" spans="4:12" x14ac:dyDescent="0.4">
      <c r="D124" s="343"/>
      <c r="E124" s="343"/>
      <c r="F124" s="343"/>
      <c r="G124" s="343"/>
      <c r="H124" s="343"/>
      <c r="I124" s="343"/>
      <c r="J124" s="343"/>
    </row>
    <row r="125" spans="4:12" x14ac:dyDescent="0.4">
      <c r="D125" s="343"/>
      <c r="E125" s="343"/>
      <c r="F125" s="343"/>
      <c r="G125" s="343"/>
      <c r="H125" s="343"/>
      <c r="I125" s="343"/>
      <c r="J125" s="343"/>
    </row>
    <row r="126" spans="4:12" x14ac:dyDescent="0.4">
      <c r="D126" s="343"/>
      <c r="E126" s="343"/>
      <c r="F126" s="343"/>
      <c r="G126" s="343"/>
      <c r="H126" s="343"/>
      <c r="I126" s="343"/>
      <c r="J126" s="343"/>
    </row>
    <row r="127" spans="4:12" x14ac:dyDescent="0.4">
      <c r="D127" s="343"/>
      <c r="E127" s="343"/>
      <c r="F127" s="343"/>
      <c r="G127" s="343"/>
      <c r="H127" s="343"/>
      <c r="I127" s="343"/>
      <c r="J127" s="343"/>
    </row>
    <row r="128" spans="4:12" x14ac:dyDescent="0.4">
      <c r="D128" s="343"/>
      <c r="E128" s="343"/>
      <c r="F128" s="343"/>
      <c r="G128" s="343"/>
      <c r="H128" s="343"/>
      <c r="I128" s="343"/>
      <c r="J128" s="343"/>
    </row>
    <row r="129" spans="4:10" x14ac:dyDescent="0.4">
      <c r="D129" s="343"/>
      <c r="E129" s="343"/>
      <c r="F129" s="343"/>
      <c r="G129" s="343"/>
      <c r="H129" s="343"/>
      <c r="I129" s="343"/>
      <c r="J129" s="343"/>
    </row>
    <row r="130" spans="4:10" x14ac:dyDescent="0.4">
      <c r="D130" s="343"/>
      <c r="E130" s="343"/>
      <c r="F130" s="343"/>
      <c r="G130" s="343"/>
      <c r="H130" s="343"/>
      <c r="I130" s="343"/>
      <c r="J130" s="343"/>
    </row>
    <row r="131" spans="4:10" x14ac:dyDescent="0.4">
      <c r="D131" s="343"/>
      <c r="E131" s="343"/>
      <c r="F131" s="343"/>
      <c r="G131" s="343"/>
      <c r="H131" s="343"/>
      <c r="I131" s="343"/>
      <c r="J131" s="343"/>
    </row>
    <row r="132" spans="4:10" x14ac:dyDescent="0.4">
      <c r="D132" s="343"/>
      <c r="E132" s="343"/>
      <c r="F132" s="343"/>
      <c r="G132" s="343"/>
      <c r="H132" s="343"/>
      <c r="I132" s="343"/>
      <c r="J132" s="343"/>
    </row>
    <row r="133" spans="4:10" x14ac:dyDescent="0.4">
      <c r="D133" s="343"/>
      <c r="E133" s="343"/>
      <c r="F133" s="343"/>
      <c r="G133" s="343"/>
      <c r="H133" s="343"/>
      <c r="I133" s="343"/>
      <c r="J133" s="343"/>
    </row>
    <row r="134" spans="4:10" x14ac:dyDescent="0.4">
      <c r="D134" s="343"/>
      <c r="E134" s="343"/>
      <c r="F134" s="343"/>
      <c r="G134" s="343"/>
      <c r="H134" s="343"/>
      <c r="I134" s="343"/>
      <c r="J134" s="343"/>
    </row>
    <row r="135" spans="4:10" x14ac:dyDescent="0.4">
      <c r="D135" s="343"/>
      <c r="E135" s="343"/>
      <c r="F135" s="343"/>
      <c r="G135" s="343"/>
      <c r="H135" s="343"/>
      <c r="I135" s="343"/>
      <c r="J135" s="343"/>
    </row>
    <row r="136" spans="4:10" x14ac:dyDescent="0.4">
      <c r="D136" s="343"/>
      <c r="E136" s="343"/>
      <c r="F136" s="343"/>
      <c r="G136" s="343"/>
      <c r="H136" s="343"/>
      <c r="I136" s="343"/>
      <c r="J136" s="343"/>
    </row>
    <row r="137" spans="4:10" x14ac:dyDescent="0.4">
      <c r="D137" s="343"/>
      <c r="E137" s="343"/>
      <c r="F137" s="343"/>
      <c r="G137" s="343"/>
      <c r="H137" s="343"/>
      <c r="I137" s="343"/>
      <c r="J137" s="343"/>
    </row>
    <row r="138" spans="4:10" x14ac:dyDescent="0.4">
      <c r="D138" s="343"/>
      <c r="E138" s="343"/>
      <c r="F138" s="343"/>
      <c r="G138" s="343"/>
      <c r="H138" s="343"/>
      <c r="I138" s="343"/>
      <c r="J138" s="343"/>
    </row>
    <row r="139" spans="4:10" x14ac:dyDescent="0.4">
      <c r="D139" s="343"/>
      <c r="E139" s="343"/>
      <c r="F139" s="343"/>
      <c r="G139" s="343"/>
      <c r="H139" s="343"/>
      <c r="I139" s="343"/>
      <c r="J139" s="343"/>
    </row>
    <row r="140" spans="4:10" x14ac:dyDescent="0.4">
      <c r="D140" s="343"/>
      <c r="E140" s="343"/>
      <c r="F140" s="343"/>
      <c r="G140" s="343"/>
      <c r="H140" s="343"/>
      <c r="I140" s="343"/>
      <c r="J140" s="343"/>
    </row>
    <row r="141" spans="4:10" x14ac:dyDescent="0.4">
      <c r="D141" s="343"/>
      <c r="E141" s="343"/>
      <c r="F141" s="343"/>
      <c r="G141" s="343"/>
      <c r="H141" s="343"/>
      <c r="I141" s="343"/>
      <c r="J141" s="343"/>
    </row>
    <row r="142" spans="4:10" x14ac:dyDescent="0.4">
      <c r="D142" s="343"/>
      <c r="E142" s="343"/>
      <c r="F142" s="343"/>
      <c r="G142" s="343"/>
      <c r="H142" s="343"/>
      <c r="I142" s="343"/>
      <c r="J142" s="343"/>
    </row>
    <row r="143" spans="4:10" x14ac:dyDescent="0.4">
      <c r="D143" s="343"/>
      <c r="E143" s="343"/>
      <c r="F143" s="343"/>
      <c r="G143" s="343"/>
      <c r="H143" s="343"/>
      <c r="I143" s="343"/>
      <c r="J143" s="343"/>
    </row>
  </sheetData>
  <mergeCells count="41">
    <mergeCell ref="K4:K5"/>
    <mergeCell ref="C48:C52"/>
    <mergeCell ref="B53:I53"/>
    <mergeCell ref="D48:D50"/>
    <mergeCell ref="B48:B52"/>
    <mergeCell ref="B45:I45"/>
    <mergeCell ref="D47:E47"/>
    <mergeCell ref="D42:D44"/>
    <mergeCell ref="D40:D41"/>
    <mergeCell ref="C39:C44"/>
    <mergeCell ref="B39:B44"/>
    <mergeCell ref="B36:I36"/>
    <mergeCell ref="D38:E38"/>
    <mergeCell ref="D8:D10"/>
    <mergeCell ref="C14:C16"/>
    <mergeCell ref="C8:C10"/>
    <mergeCell ref="D32:D33"/>
    <mergeCell ref="D31:E31"/>
    <mergeCell ref="B1:J1"/>
    <mergeCell ref="D3:E3"/>
    <mergeCell ref="B2:J2"/>
    <mergeCell ref="D4:D6"/>
    <mergeCell ref="C4:C6"/>
    <mergeCell ref="B4:B6"/>
    <mergeCell ref="C32:C35"/>
    <mergeCell ref="D13:E13"/>
    <mergeCell ref="B14:B16"/>
    <mergeCell ref="D14:D16"/>
    <mergeCell ref="B29:I29"/>
    <mergeCell ref="B17:I17"/>
    <mergeCell ref="D19:E19"/>
    <mergeCell ref="B20:B22"/>
    <mergeCell ref="D25:E25"/>
    <mergeCell ref="B26:B28"/>
    <mergeCell ref="C26:C28"/>
    <mergeCell ref="D26:D28"/>
    <mergeCell ref="B7:I7"/>
    <mergeCell ref="B11:I11"/>
    <mergeCell ref="C20:C22"/>
    <mergeCell ref="D20:D22"/>
    <mergeCell ref="B23:I23"/>
  </mergeCells>
  <hyperlinks>
    <hyperlink ref="K2" location="cover!A1" display="cover!A1" xr:uid="{00000000-0004-0000-0100-000000000000}"/>
  </hyperlinks>
  <pageMargins left="0.70866141732283472" right="0.70866141732283472" top="0.74803149606299213" bottom="0.74803149606299213" header="0.31496062992125984" footer="0.31496062992125984"/>
  <pageSetup paperSize="9" scale="69" orientation="landscape" r:id="rId1"/>
  <headerFooter>
    <oddFooter>&amp;CPage &amp;P&amp;Rتحليل اسعار البنود موقع امواج</oddFooter>
  </headerFooter>
  <ignoredErrors>
    <ignoredError sqref="J11" formula="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B1:D38"/>
  <sheetViews>
    <sheetView rightToLeft="1" topLeftCell="A31" workbookViewId="0"/>
  </sheetViews>
  <sheetFormatPr defaultRowHeight="15" x14ac:dyDescent="0.25"/>
  <cols>
    <col min="2" max="2" width="70.42578125" customWidth="1"/>
    <col min="4" max="4" width="19.28515625" customWidth="1"/>
  </cols>
  <sheetData>
    <row r="1" spans="2:4" ht="15.75" thickBot="1" x14ac:dyDescent="0.3"/>
    <row r="2" spans="2:4" ht="31.5" x14ac:dyDescent="0.5">
      <c r="B2" s="303" t="s">
        <v>1093</v>
      </c>
      <c r="D2" s="805" t="s">
        <v>1243</v>
      </c>
    </row>
    <row r="3" spans="2:4" ht="26.25" customHeight="1" x14ac:dyDescent="0.25">
      <c r="B3" s="285" t="s">
        <v>1094</v>
      </c>
    </row>
    <row r="4" spans="2:4" ht="26.25" customHeight="1" x14ac:dyDescent="0.25">
      <c r="B4" s="285" t="s">
        <v>1095</v>
      </c>
    </row>
    <row r="5" spans="2:4" ht="26.25" customHeight="1" x14ac:dyDescent="0.25">
      <c r="B5" s="285" t="s">
        <v>1096</v>
      </c>
    </row>
    <row r="6" spans="2:4" ht="26.25" customHeight="1" x14ac:dyDescent="0.25">
      <c r="B6" s="285" t="s">
        <v>1097</v>
      </c>
    </row>
    <row r="7" spans="2:4" ht="26.25" customHeight="1" x14ac:dyDescent="0.25">
      <c r="B7" s="806" t="s">
        <v>1244</v>
      </c>
    </row>
    <row r="8" spans="2:4" ht="26.25" customHeight="1" x14ac:dyDescent="0.25">
      <c r="B8" s="806" t="s">
        <v>1245</v>
      </c>
    </row>
    <row r="9" spans="2:4" ht="26.25" customHeight="1" x14ac:dyDescent="0.25">
      <c r="B9" s="285" t="s">
        <v>1098</v>
      </c>
    </row>
    <row r="10" spans="2:4" ht="26.25" customHeight="1" x14ac:dyDescent="0.25">
      <c r="B10" s="285" t="s">
        <v>1099</v>
      </c>
    </row>
    <row r="11" spans="2:4" ht="26.25" customHeight="1" x14ac:dyDescent="0.25">
      <c r="B11" s="285" t="s">
        <v>1100</v>
      </c>
    </row>
    <row r="12" spans="2:4" ht="26.25" customHeight="1" x14ac:dyDescent="0.25">
      <c r="B12" s="285" t="s">
        <v>1101</v>
      </c>
    </row>
    <row r="13" spans="2:4" ht="26.25" customHeight="1" x14ac:dyDescent="0.25">
      <c r="B13" s="285" t="s">
        <v>1102</v>
      </c>
    </row>
    <row r="14" spans="2:4" ht="26.25" customHeight="1" x14ac:dyDescent="0.25">
      <c r="B14" s="285" t="s">
        <v>1103</v>
      </c>
    </row>
    <row r="15" spans="2:4" ht="26.25" customHeight="1" x14ac:dyDescent="0.25">
      <c r="B15" s="285" t="s">
        <v>1104</v>
      </c>
    </row>
    <row r="16" spans="2:4" ht="26.25" customHeight="1" x14ac:dyDescent="0.25">
      <c r="B16" s="285" t="s">
        <v>1105</v>
      </c>
    </row>
    <row r="17" spans="2:2" ht="26.25" customHeight="1" x14ac:dyDescent="0.25">
      <c r="B17" s="285" t="s">
        <v>1106</v>
      </c>
    </row>
    <row r="18" spans="2:2" ht="26.25" customHeight="1" x14ac:dyDescent="0.25">
      <c r="B18" s="285" t="s">
        <v>1107</v>
      </c>
    </row>
    <row r="19" spans="2:2" ht="26.25" customHeight="1" x14ac:dyDescent="0.25">
      <c r="B19" s="285" t="s">
        <v>1108</v>
      </c>
    </row>
    <row r="20" spans="2:2" ht="26.25" customHeight="1" x14ac:dyDescent="0.25">
      <c r="B20" s="285" t="s">
        <v>1109</v>
      </c>
    </row>
    <row r="21" spans="2:2" ht="26.25" customHeight="1" x14ac:dyDescent="0.25">
      <c r="B21" s="285" t="s">
        <v>1110</v>
      </c>
    </row>
    <row r="22" spans="2:2" ht="26.25" customHeight="1" x14ac:dyDescent="0.25">
      <c r="B22" s="285" t="s">
        <v>1111</v>
      </c>
    </row>
    <row r="23" spans="2:2" ht="26.25" customHeight="1" x14ac:dyDescent="0.25">
      <c r="B23" s="285" t="s">
        <v>1112</v>
      </c>
    </row>
    <row r="24" spans="2:2" ht="26.25" customHeight="1" x14ac:dyDescent="0.25">
      <c r="B24" s="285" t="s">
        <v>1113</v>
      </c>
    </row>
    <row r="25" spans="2:2" ht="26.25" customHeight="1" x14ac:dyDescent="0.25">
      <c r="B25" s="285" t="s">
        <v>1114</v>
      </c>
    </row>
    <row r="26" spans="2:2" ht="26.25" customHeight="1" x14ac:dyDescent="0.25">
      <c r="B26" s="285" t="s">
        <v>1115</v>
      </c>
    </row>
    <row r="27" spans="2:2" ht="26.25" customHeight="1" x14ac:dyDescent="0.25">
      <c r="B27" s="285" t="s">
        <v>1116</v>
      </c>
    </row>
    <row r="28" spans="2:2" ht="26.25" customHeight="1" x14ac:dyDescent="0.25">
      <c r="B28" s="285" t="s">
        <v>1117</v>
      </c>
    </row>
    <row r="29" spans="2:2" ht="26.25" customHeight="1" x14ac:dyDescent="0.25">
      <c r="B29" s="285" t="s">
        <v>1118</v>
      </c>
    </row>
    <row r="30" spans="2:2" ht="26.25" customHeight="1" x14ac:dyDescent="0.25">
      <c r="B30" s="285" t="s">
        <v>1117</v>
      </c>
    </row>
    <row r="31" spans="2:2" ht="26.25" customHeight="1" x14ac:dyDescent="0.25">
      <c r="B31" s="285" t="s">
        <v>1119</v>
      </c>
    </row>
    <row r="32" spans="2:2" ht="26.25" customHeight="1" x14ac:dyDescent="0.25">
      <c r="B32" s="285" t="s">
        <v>1120</v>
      </c>
    </row>
    <row r="33" spans="2:2" ht="26.25" customHeight="1" x14ac:dyDescent="0.25">
      <c r="B33" s="285" t="s">
        <v>1121</v>
      </c>
    </row>
    <row r="34" spans="2:2" ht="26.25" customHeight="1" x14ac:dyDescent="0.25">
      <c r="B34" s="285" t="s">
        <v>1122</v>
      </c>
    </row>
    <row r="35" spans="2:2" ht="26.25" customHeight="1" x14ac:dyDescent="0.25">
      <c r="B35" s="285" t="s">
        <v>1123</v>
      </c>
    </row>
    <row r="36" spans="2:2" ht="26.25" customHeight="1" x14ac:dyDescent="0.25">
      <c r="B36" s="285" t="s">
        <v>1124</v>
      </c>
    </row>
    <row r="37" spans="2:2" ht="26.25" customHeight="1" x14ac:dyDescent="0.25">
      <c r="B37" s="285" t="s">
        <v>1125</v>
      </c>
    </row>
    <row r="38" spans="2:2" ht="26.25" customHeight="1" x14ac:dyDescent="0.25">
      <c r="B38" s="285" t="s">
        <v>1126</v>
      </c>
    </row>
  </sheetData>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B1:G70"/>
  <sheetViews>
    <sheetView rightToLeft="1" zoomScale="50" zoomScaleNormal="50" workbookViewId="0">
      <selection activeCell="I28" sqref="I28"/>
    </sheetView>
  </sheetViews>
  <sheetFormatPr defaultColWidth="28.140625" defaultRowHeight="26.25" x14ac:dyDescent="0.25"/>
  <cols>
    <col min="1" max="1" width="10.42578125" style="182" customWidth="1"/>
    <col min="2" max="2" width="37.5703125" style="226" customWidth="1"/>
    <col min="3" max="3" width="21.140625" style="182" customWidth="1"/>
    <col min="4" max="4" width="46.85546875" style="182" customWidth="1"/>
    <col min="5" max="5" width="28.140625" style="197"/>
    <col min="6" max="6" width="37.28515625" style="197" customWidth="1"/>
    <col min="7" max="16384" width="28.140625" style="182"/>
  </cols>
  <sheetData>
    <row r="1" spans="2:6" ht="27" thickBot="1" x14ac:dyDescent="0.3"/>
    <row r="2" spans="2:6" ht="34.5" customHeight="1" thickBot="1" x14ac:dyDescent="0.3">
      <c r="B2" s="1280" t="s">
        <v>496</v>
      </c>
      <c r="C2" s="1281"/>
      <c r="D2" s="1281"/>
      <c r="E2" s="1281"/>
      <c r="F2" s="1282"/>
    </row>
    <row r="4" spans="2:6" ht="60.75" customHeight="1" x14ac:dyDescent="0.25">
      <c r="B4" s="1284" t="s">
        <v>475</v>
      </c>
      <c r="C4" s="1284"/>
      <c r="D4" s="1284"/>
      <c r="E4" s="198" t="s">
        <v>474</v>
      </c>
      <c r="F4" s="198" t="s">
        <v>560</v>
      </c>
    </row>
    <row r="5" spans="2:6" ht="26.25" customHeight="1" x14ac:dyDescent="0.25">
      <c r="B5" s="1273" t="s">
        <v>525</v>
      </c>
      <c r="C5" s="1272" t="s">
        <v>526</v>
      </c>
      <c r="D5" s="1272"/>
      <c r="E5" s="199">
        <f>'حفر و احلال'!J7</f>
        <v>21</v>
      </c>
      <c r="F5" s="199">
        <f>E5*1.25</f>
        <v>26.25</v>
      </c>
    </row>
    <row r="6" spans="2:6" ht="26.25" customHeight="1" x14ac:dyDescent="0.25">
      <c r="B6" s="1273"/>
      <c r="C6" s="1272" t="s">
        <v>527</v>
      </c>
      <c r="D6" s="1272"/>
      <c r="E6" s="199">
        <f>'حفر و احلال'!J11</f>
        <v>39.5</v>
      </c>
      <c r="F6" s="199">
        <f t="shared" ref="F6:F52" si="0">E6*1.25</f>
        <v>49.375</v>
      </c>
    </row>
    <row r="7" spans="2:6" ht="26.25" customHeight="1" x14ac:dyDescent="0.25">
      <c r="B7" s="1273"/>
      <c r="C7" s="1272" t="s">
        <v>528</v>
      </c>
      <c r="D7" s="1272"/>
      <c r="E7" s="199">
        <f>'حفر و احلال'!J36</f>
        <v>82.7</v>
      </c>
      <c r="F7" s="199">
        <f t="shared" si="0"/>
        <v>103.375</v>
      </c>
    </row>
    <row r="8" spans="2:6" ht="11.25" customHeight="1" x14ac:dyDescent="0.25">
      <c r="B8" s="227"/>
      <c r="C8" s="200"/>
      <c r="D8" s="200"/>
      <c r="E8" s="200"/>
      <c r="F8" s="200"/>
    </row>
    <row r="9" spans="2:6" ht="24.75" customHeight="1" x14ac:dyDescent="0.25">
      <c r="B9" s="1269" t="s">
        <v>468</v>
      </c>
      <c r="C9" s="1283" t="s">
        <v>469</v>
      </c>
      <c r="D9" s="201" t="s">
        <v>529</v>
      </c>
      <c r="E9" s="202">
        <f>'خرسانة عادية'!J12</f>
        <v>371.72999999999996</v>
      </c>
      <c r="F9" s="199">
        <f t="shared" si="0"/>
        <v>464.66249999999997</v>
      </c>
    </row>
    <row r="10" spans="2:6" ht="24.75" customHeight="1" x14ac:dyDescent="0.25">
      <c r="B10" s="1269"/>
      <c r="C10" s="1283"/>
      <c r="D10" s="201" t="s">
        <v>530</v>
      </c>
      <c r="E10" s="202">
        <f>'خرسانة عادية'!J23</f>
        <v>426</v>
      </c>
      <c r="F10" s="199">
        <f t="shared" si="0"/>
        <v>532.5</v>
      </c>
    </row>
    <row r="11" spans="2:6" ht="24.75" customHeight="1" x14ac:dyDescent="0.25">
      <c r="B11" s="1269"/>
      <c r="C11" s="1283"/>
      <c r="D11" s="201" t="s">
        <v>497</v>
      </c>
      <c r="E11" s="202">
        <f>'خرسانة عادية'!J43</f>
        <v>63.026201201201204</v>
      </c>
      <c r="F11" s="199">
        <f t="shared" si="0"/>
        <v>78.782751501501508</v>
      </c>
    </row>
    <row r="12" spans="2:6" ht="24.75" customHeight="1" x14ac:dyDescent="0.25">
      <c r="B12" s="1269"/>
      <c r="C12" s="1283"/>
      <c r="D12" s="201" t="s">
        <v>498</v>
      </c>
      <c r="E12" s="202">
        <f>'خرسانة عادية'!J53</f>
        <v>29.095789393939395</v>
      </c>
      <c r="F12" s="199">
        <f t="shared" si="0"/>
        <v>36.369736742424244</v>
      </c>
    </row>
    <row r="13" spans="2:6" ht="24.75" customHeight="1" x14ac:dyDescent="0.25">
      <c r="B13" s="1269"/>
      <c r="C13" s="1283"/>
      <c r="D13" s="201" t="s">
        <v>531</v>
      </c>
      <c r="E13" s="202">
        <f>'خرسانة عادية'!J62</f>
        <v>8.5679999999999996</v>
      </c>
      <c r="F13" s="199">
        <f t="shared" si="0"/>
        <v>10.709999999999999</v>
      </c>
    </row>
    <row r="14" spans="2:6" ht="12.75" customHeight="1" x14ac:dyDescent="0.25">
      <c r="B14" s="1269"/>
      <c r="C14" s="156"/>
      <c r="D14" s="200"/>
      <c r="E14" s="200"/>
      <c r="F14" s="200"/>
    </row>
    <row r="15" spans="2:6" x14ac:dyDescent="0.25">
      <c r="B15" s="1269"/>
      <c r="C15" s="1283" t="s">
        <v>470</v>
      </c>
      <c r="D15" s="201" t="s">
        <v>532</v>
      </c>
      <c r="E15" s="202">
        <f>'خرسانة مسلحة'!J20</f>
        <v>1040.48</v>
      </c>
      <c r="F15" s="199">
        <f t="shared" si="0"/>
        <v>1300.5999999999999</v>
      </c>
    </row>
    <row r="16" spans="2:6" x14ac:dyDescent="0.25">
      <c r="B16" s="1269"/>
      <c r="C16" s="1283"/>
      <c r="D16" s="201" t="s">
        <v>533</v>
      </c>
      <c r="E16" s="202">
        <f>'خرسانة مسلحة'!J34</f>
        <v>1177.4000000000001</v>
      </c>
      <c r="F16" s="199">
        <f t="shared" si="0"/>
        <v>1471.75</v>
      </c>
    </row>
    <row r="17" spans="2:6" x14ac:dyDescent="0.25">
      <c r="B17" s="1269"/>
      <c r="C17" s="1283"/>
      <c r="D17" s="201" t="s">
        <v>534</v>
      </c>
      <c r="E17" s="202">
        <f>'خرسانة مسلحة'!J50</f>
        <v>1384.8799999999999</v>
      </c>
      <c r="F17" s="199">
        <f t="shared" si="0"/>
        <v>1731.1</v>
      </c>
    </row>
    <row r="18" spans="2:6" x14ac:dyDescent="0.25">
      <c r="B18" s="1269"/>
      <c r="C18" s="1283"/>
      <c r="D18" s="201" t="s">
        <v>535</v>
      </c>
      <c r="E18" s="202">
        <f>'خرسانة مسلحة'!J65</f>
        <v>1501.6</v>
      </c>
      <c r="F18" s="199">
        <f t="shared" si="0"/>
        <v>1877</v>
      </c>
    </row>
    <row r="19" spans="2:6" x14ac:dyDescent="0.25">
      <c r="B19" s="1269"/>
      <c r="C19" s="1283"/>
      <c r="D19" s="201" t="s">
        <v>536</v>
      </c>
      <c r="E19" s="202">
        <f>'خرسانة مسلحة'!J82</f>
        <v>1320.78</v>
      </c>
      <c r="F19" s="199">
        <f t="shared" si="0"/>
        <v>1650.9749999999999</v>
      </c>
    </row>
    <row r="20" spans="2:6" x14ac:dyDescent="0.25">
      <c r="B20" s="1269"/>
      <c r="C20" s="1283"/>
      <c r="D20" s="201" t="s">
        <v>537</v>
      </c>
      <c r="E20" s="202">
        <f>'خرسانة مسلحة'!J97</f>
        <v>1273.1999999999998</v>
      </c>
      <c r="F20" s="199">
        <f t="shared" si="0"/>
        <v>1591.4999999999998</v>
      </c>
    </row>
    <row r="21" spans="2:6" ht="11.25" customHeight="1" x14ac:dyDescent="0.25">
      <c r="B21" s="227"/>
      <c r="C21" s="200"/>
      <c r="D21" s="200"/>
      <c r="E21" s="200"/>
      <c r="F21" s="200"/>
    </row>
    <row r="22" spans="2:6" x14ac:dyDescent="0.25">
      <c r="B22" s="1273" t="s">
        <v>476</v>
      </c>
      <c r="C22" s="201" t="s">
        <v>477</v>
      </c>
      <c r="D22" s="201" t="s">
        <v>479</v>
      </c>
      <c r="E22" s="202">
        <f>المبانى!J14</f>
        <v>56.381218181818177</v>
      </c>
      <c r="F22" s="199">
        <f t="shared" si="0"/>
        <v>70.476522727272723</v>
      </c>
    </row>
    <row r="23" spans="2:6" x14ac:dyDescent="0.25">
      <c r="B23" s="1273"/>
      <c r="C23" s="201" t="s">
        <v>477</v>
      </c>
      <c r="D23" s="201" t="s">
        <v>538</v>
      </c>
      <c r="E23" s="202" t="e">
        <f>المبانى!#REF!</f>
        <v>#REF!</v>
      </c>
      <c r="F23" s="199" t="e">
        <f t="shared" si="0"/>
        <v>#REF!</v>
      </c>
    </row>
    <row r="24" spans="2:6" x14ac:dyDescent="0.25">
      <c r="B24" s="1273"/>
      <c r="C24" s="201" t="s">
        <v>539</v>
      </c>
      <c r="D24" s="201" t="s">
        <v>480</v>
      </c>
      <c r="E24" s="202">
        <f>المبانى!J26</f>
        <v>58.723668181818184</v>
      </c>
      <c r="F24" s="199">
        <f t="shared" si="0"/>
        <v>73.404585227272733</v>
      </c>
    </row>
    <row r="25" spans="2:6" x14ac:dyDescent="0.25">
      <c r="B25" s="1273"/>
      <c r="C25" s="201" t="s">
        <v>540</v>
      </c>
      <c r="D25" s="201" t="s">
        <v>480</v>
      </c>
      <c r="E25" s="202">
        <f>المبانى!J37</f>
        <v>513.44524999999999</v>
      </c>
      <c r="F25" s="199">
        <f t="shared" si="0"/>
        <v>641.80656249999993</v>
      </c>
    </row>
    <row r="26" spans="2:6" x14ac:dyDescent="0.25">
      <c r="B26" s="1273"/>
      <c r="C26" s="201" t="s">
        <v>478</v>
      </c>
      <c r="D26" s="201" t="s">
        <v>479</v>
      </c>
      <c r="E26" s="202">
        <f>المبانى!J48</f>
        <v>420.10149999999999</v>
      </c>
      <c r="F26" s="199">
        <f t="shared" si="0"/>
        <v>525.12687499999993</v>
      </c>
    </row>
    <row r="27" spans="2:6" ht="11.25" customHeight="1" x14ac:dyDescent="0.25">
      <c r="B27" s="227"/>
      <c r="C27" s="200"/>
      <c r="D27" s="200"/>
      <c r="E27" s="200"/>
      <c r="F27" s="200"/>
    </row>
    <row r="28" spans="2:6" x14ac:dyDescent="0.25">
      <c r="B28" s="1273" t="s">
        <v>481</v>
      </c>
      <c r="C28" s="1272" t="s">
        <v>482</v>
      </c>
      <c r="D28" s="201" t="s">
        <v>483</v>
      </c>
      <c r="E28" s="202">
        <f>البياض!J15</f>
        <v>32.15806666666667</v>
      </c>
      <c r="F28" s="199">
        <f t="shared" si="0"/>
        <v>40.197583333333341</v>
      </c>
    </row>
    <row r="29" spans="2:6" x14ac:dyDescent="0.25">
      <c r="B29" s="1273"/>
      <c r="C29" s="1272"/>
      <c r="D29" s="201" t="s">
        <v>473</v>
      </c>
      <c r="E29" s="202">
        <f>البياض!J26</f>
        <v>37.408999999999999</v>
      </c>
      <c r="F29" s="199">
        <f t="shared" si="0"/>
        <v>46.761249999999997</v>
      </c>
    </row>
    <row r="30" spans="2:6" x14ac:dyDescent="0.25">
      <c r="B30" s="1273"/>
      <c r="C30" s="1272" t="s">
        <v>549</v>
      </c>
      <c r="D30" s="201" t="s">
        <v>550</v>
      </c>
      <c r="E30" s="202">
        <f>البياض!J39</f>
        <v>41.747727272727275</v>
      </c>
      <c r="F30" s="199">
        <f t="shared" si="0"/>
        <v>52.184659090909093</v>
      </c>
    </row>
    <row r="31" spans="2:6" x14ac:dyDescent="0.25">
      <c r="B31" s="1273"/>
      <c r="C31" s="1272"/>
      <c r="D31" s="201" t="s">
        <v>551</v>
      </c>
      <c r="E31" s="202">
        <f>البياض!J46</f>
        <v>37.293999999999997</v>
      </c>
      <c r="F31" s="199">
        <f t="shared" si="0"/>
        <v>46.617499999999993</v>
      </c>
    </row>
    <row r="32" spans="2:6" x14ac:dyDescent="0.25">
      <c r="B32" s="1273"/>
      <c r="C32" s="1272" t="s">
        <v>484</v>
      </c>
      <c r="D32" s="1272"/>
      <c r="E32" s="202">
        <f>البياض!J56</f>
        <v>14.43952</v>
      </c>
      <c r="F32" s="199">
        <f t="shared" si="0"/>
        <v>18.049399999999999</v>
      </c>
    </row>
    <row r="33" spans="2:6" ht="11.25" customHeight="1" x14ac:dyDescent="0.25">
      <c r="B33" s="227"/>
      <c r="C33" s="200"/>
      <c r="D33" s="200"/>
      <c r="E33" s="200"/>
      <c r="F33" s="200"/>
    </row>
    <row r="34" spans="2:6" x14ac:dyDescent="0.25">
      <c r="B34" s="1273" t="s">
        <v>485</v>
      </c>
      <c r="C34" s="1272" t="s">
        <v>486</v>
      </c>
      <c r="D34" s="1272"/>
      <c r="E34" s="202">
        <f>الدهانات!J16</f>
        <v>16.93</v>
      </c>
      <c r="F34" s="199">
        <f t="shared" si="0"/>
        <v>21.162500000000001</v>
      </c>
    </row>
    <row r="35" spans="2:6" x14ac:dyDescent="0.25">
      <c r="B35" s="1273"/>
      <c r="C35" s="1272" t="s">
        <v>487</v>
      </c>
      <c r="D35" s="1272"/>
      <c r="E35" s="202">
        <f>الدهانات!J29</f>
        <v>19.87</v>
      </c>
      <c r="F35" s="199">
        <f t="shared" si="0"/>
        <v>24.837500000000002</v>
      </c>
    </row>
    <row r="36" spans="2:6" ht="11.25" customHeight="1" x14ac:dyDescent="0.25">
      <c r="B36" s="227"/>
      <c r="C36" s="200"/>
      <c r="D36" s="200"/>
      <c r="E36" s="200"/>
      <c r="F36" s="200"/>
    </row>
    <row r="37" spans="2:6" x14ac:dyDescent="0.25">
      <c r="B37" s="228" t="s">
        <v>488</v>
      </c>
      <c r="C37" s="1272" t="s">
        <v>489</v>
      </c>
      <c r="D37" s="1272"/>
      <c r="E37" s="202">
        <f>القرميد!J13</f>
        <v>182.82400000000001</v>
      </c>
      <c r="F37" s="199">
        <f t="shared" si="0"/>
        <v>228.53000000000003</v>
      </c>
    </row>
    <row r="38" spans="2:6" ht="11.25" customHeight="1" x14ac:dyDescent="0.25">
      <c r="B38" s="227"/>
      <c r="C38" s="200"/>
      <c r="D38" s="200"/>
      <c r="E38" s="200"/>
      <c r="F38" s="200"/>
    </row>
    <row r="39" spans="2:6" x14ac:dyDescent="0.25">
      <c r="B39" s="1273" t="s">
        <v>490</v>
      </c>
      <c r="C39" s="1272" t="s">
        <v>541</v>
      </c>
      <c r="D39" s="1272"/>
      <c r="E39" s="202">
        <f>السيراميك!J13</f>
        <v>61.292499999999997</v>
      </c>
      <c r="F39" s="199">
        <f t="shared" si="0"/>
        <v>76.615624999999994</v>
      </c>
    </row>
    <row r="40" spans="2:6" x14ac:dyDescent="0.25">
      <c r="B40" s="1273"/>
      <c r="C40" s="1272" t="s">
        <v>542</v>
      </c>
      <c r="D40" s="1272"/>
      <c r="E40" s="202">
        <f>السيراميك!J57</f>
        <v>66.022499999999994</v>
      </c>
      <c r="F40" s="199">
        <f t="shared" si="0"/>
        <v>82.528124999999989</v>
      </c>
    </row>
    <row r="41" spans="2:6" x14ac:dyDescent="0.25">
      <c r="B41" s="1273"/>
      <c r="C41" s="1272" t="s">
        <v>543</v>
      </c>
      <c r="D41" s="1272"/>
      <c r="E41" s="202">
        <f>السيراميك!J69</f>
        <v>9.2385000000000002</v>
      </c>
      <c r="F41" s="199">
        <f t="shared" si="0"/>
        <v>11.548125000000001</v>
      </c>
    </row>
    <row r="42" spans="2:6" x14ac:dyDescent="0.25">
      <c r="B42" s="1273"/>
      <c r="C42" s="1272" t="s">
        <v>544</v>
      </c>
      <c r="D42" s="1272"/>
      <c r="E42" s="202">
        <f>السيراميك!J79</f>
        <v>34.114999999999995</v>
      </c>
      <c r="F42" s="199">
        <f t="shared" si="0"/>
        <v>42.643749999999997</v>
      </c>
    </row>
    <row r="43" spans="2:6" x14ac:dyDescent="0.25">
      <c r="B43" s="1273"/>
      <c r="C43" s="1272" t="s">
        <v>545</v>
      </c>
      <c r="D43" s="1272"/>
      <c r="E43" s="202">
        <f>السيراميك!J90</f>
        <v>26.12</v>
      </c>
      <c r="F43" s="199">
        <f t="shared" si="0"/>
        <v>32.65</v>
      </c>
    </row>
    <row r="44" spans="2:6" x14ac:dyDescent="0.25">
      <c r="B44" s="1273"/>
      <c r="C44" s="1272" t="s">
        <v>546</v>
      </c>
      <c r="D44" s="1272"/>
      <c r="E44" s="202">
        <f>السيراميك!J100</f>
        <v>83.41</v>
      </c>
      <c r="F44" s="199">
        <f t="shared" si="0"/>
        <v>104.26249999999999</v>
      </c>
    </row>
    <row r="45" spans="2:6" ht="11.25" customHeight="1" x14ac:dyDescent="0.25">
      <c r="B45" s="227"/>
      <c r="C45" s="200"/>
      <c r="D45" s="200"/>
      <c r="E45" s="200"/>
      <c r="F45" s="200"/>
    </row>
    <row r="46" spans="2:6" x14ac:dyDescent="0.25">
      <c r="B46" s="1273" t="s">
        <v>492</v>
      </c>
      <c r="C46" s="1272" t="s">
        <v>494</v>
      </c>
      <c r="D46" s="201" t="s">
        <v>493</v>
      </c>
      <c r="E46" s="202">
        <f>الرخام!J13</f>
        <v>86.263000000000005</v>
      </c>
      <c r="F46" s="199">
        <f t="shared" si="0"/>
        <v>107.82875000000001</v>
      </c>
    </row>
    <row r="47" spans="2:6" x14ac:dyDescent="0.25">
      <c r="B47" s="1273"/>
      <c r="C47" s="1272"/>
      <c r="D47" s="201" t="s">
        <v>491</v>
      </c>
      <c r="E47" s="202">
        <f>الرخام!J21</f>
        <v>14.007249999999999</v>
      </c>
      <c r="F47" s="199">
        <f t="shared" si="0"/>
        <v>17.509062499999999</v>
      </c>
    </row>
    <row r="48" spans="2:6" x14ac:dyDescent="0.25">
      <c r="B48" s="1273"/>
      <c r="C48" s="1272"/>
      <c r="D48" s="201" t="s">
        <v>548</v>
      </c>
      <c r="E48" s="202">
        <f>الرخام!J29</f>
        <v>79.08775</v>
      </c>
      <c r="F48" s="199">
        <f t="shared" si="0"/>
        <v>98.859687500000007</v>
      </c>
    </row>
    <row r="49" spans="2:6" x14ac:dyDescent="0.25">
      <c r="B49" s="1273"/>
      <c r="C49" s="1272" t="s">
        <v>547</v>
      </c>
      <c r="D49" s="201" t="s">
        <v>493</v>
      </c>
      <c r="E49" s="202">
        <f>الرخام!J39</f>
        <v>84.950500000000005</v>
      </c>
      <c r="F49" s="199">
        <f t="shared" si="0"/>
        <v>106.18812500000001</v>
      </c>
    </row>
    <row r="50" spans="2:6" x14ac:dyDescent="0.25">
      <c r="B50" s="1273"/>
      <c r="C50" s="1272"/>
      <c r="D50" s="201" t="s">
        <v>491</v>
      </c>
      <c r="E50" s="202">
        <f>الرخام!J47</f>
        <v>12.138500000000001</v>
      </c>
      <c r="F50" s="199">
        <f t="shared" si="0"/>
        <v>15.173125000000001</v>
      </c>
    </row>
    <row r="51" spans="2:6" x14ac:dyDescent="0.25">
      <c r="B51" s="1273"/>
      <c r="C51" s="1272"/>
      <c r="D51" s="201" t="s">
        <v>548</v>
      </c>
      <c r="E51" s="202">
        <f>الرخام!J55</f>
        <v>60.439</v>
      </c>
      <c r="F51" s="199">
        <f t="shared" si="0"/>
        <v>75.548749999999998</v>
      </c>
    </row>
    <row r="52" spans="2:6" x14ac:dyDescent="0.25">
      <c r="B52" s="1273"/>
      <c r="C52" s="201" t="s">
        <v>495</v>
      </c>
      <c r="D52" s="201" t="s">
        <v>493</v>
      </c>
      <c r="E52" s="202">
        <f>الرخام!J65</f>
        <v>319.90888587500001</v>
      </c>
      <c r="F52" s="199">
        <f t="shared" si="0"/>
        <v>399.88610734375004</v>
      </c>
    </row>
    <row r="53" spans="2:6" ht="11.25" customHeight="1" x14ac:dyDescent="0.25">
      <c r="B53" s="229"/>
      <c r="C53" s="200"/>
      <c r="D53" s="200"/>
      <c r="E53" s="200"/>
      <c r="F53" s="200"/>
    </row>
    <row r="54" spans="2:6" x14ac:dyDescent="0.25">
      <c r="B54" s="1274" t="s">
        <v>552</v>
      </c>
      <c r="C54" s="1271" t="s">
        <v>553</v>
      </c>
      <c r="D54" s="1272"/>
      <c r="E54" s="202">
        <f>'النجارة '!J26</f>
        <v>762.31</v>
      </c>
      <c r="F54" s="202">
        <f>E54*1.25</f>
        <v>952.88749999999993</v>
      </c>
    </row>
    <row r="55" spans="2:6" x14ac:dyDescent="0.25">
      <c r="B55" s="1275"/>
      <c r="C55" s="1271" t="s">
        <v>554</v>
      </c>
      <c r="D55" s="1272"/>
      <c r="E55" s="202">
        <f>'النجارة '!J54</f>
        <v>619.69999999999993</v>
      </c>
      <c r="F55" s="202">
        <f t="shared" ref="F55:F69" si="1">E55*1.25</f>
        <v>774.62499999999989</v>
      </c>
    </row>
    <row r="56" spans="2:6" x14ac:dyDescent="0.25">
      <c r="B56" s="1275"/>
      <c r="C56" s="1271" t="s">
        <v>555</v>
      </c>
      <c r="D56" s="1272"/>
      <c r="E56" s="202">
        <f>'النجارة '!J71</f>
        <v>509.69999999999993</v>
      </c>
      <c r="F56" s="202">
        <f t="shared" si="1"/>
        <v>637.12499999999989</v>
      </c>
    </row>
    <row r="57" spans="2:6" x14ac:dyDescent="0.25">
      <c r="B57" s="1275"/>
      <c r="C57" s="1271" t="s">
        <v>556</v>
      </c>
      <c r="D57" s="1272"/>
      <c r="E57" s="202">
        <f>'النجارة '!J88</f>
        <v>619.08999999999992</v>
      </c>
      <c r="F57" s="202">
        <f t="shared" si="1"/>
        <v>773.86249999999995</v>
      </c>
    </row>
    <row r="58" spans="2:6" x14ac:dyDescent="0.25">
      <c r="B58" s="1275"/>
      <c r="C58" s="1271" t="s">
        <v>557</v>
      </c>
      <c r="D58" s="1272"/>
      <c r="E58" s="202">
        <f>'النجارة '!J105</f>
        <v>509.09</v>
      </c>
      <c r="F58" s="202">
        <f t="shared" si="1"/>
        <v>636.36249999999995</v>
      </c>
    </row>
    <row r="59" spans="2:6" x14ac:dyDescent="0.25">
      <c r="B59" s="1275"/>
      <c r="C59" s="1271" t="s">
        <v>154</v>
      </c>
      <c r="D59" s="1272"/>
      <c r="E59" s="202">
        <f>'النجارة '!J139</f>
        <v>2100</v>
      </c>
      <c r="F59" s="202">
        <f t="shared" si="1"/>
        <v>2625</v>
      </c>
    </row>
    <row r="60" spans="2:6" x14ac:dyDescent="0.25">
      <c r="B60" s="1275"/>
      <c r="C60" s="1271" t="s">
        <v>157</v>
      </c>
      <c r="D60" s="1272"/>
      <c r="E60" s="202">
        <f>'النجارة '!J144</f>
        <v>1505</v>
      </c>
      <c r="F60" s="202">
        <f t="shared" si="1"/>
        <v>1881.25</v>
      </c>
    </row>
    <row r="61" spans="2:6" x14ac:dyDescent="0.25">
      <c r="B61" s="1275"/>
      <c r="C61" s="1272" t="s">
        <v>558</v>
      </c>
      <c r="D61" s="1272"/>
      <c r="E61" s="202">
        <f>'النجارة '!J119</f>
        <v>509.91</v>
      </c>
      <c r="F61" s="202">
        <f t="shared" si="1"/>
        <v>637.38750000000005</v>
      </c>
    </row>
    <row r="62" spans="2:6" x14ac:dyDescent="0.25">
      <c r="B62" s="1276"/>
      <c r="C62" s="1272" t="s">
        <v>559</v>
      </c>
      <c r="D62" s="1272"/>
      <c r="E62" s="202">
        <f>'النجارة '!J134</f>
        <v>732.02375000000006</v>
      </c>
      <c r="F62" s="202">
        <f t="shared" si="1"/>
        <v>915.02968750000014</v>
      </c>
    </row>
    <row r="63" spans="2:6" ht="11.25" customHeight="1" x14ac:dyDescent="0.25">
      <c r="B63" s="229"/>
      <c r="C63" s="203"/>
      <c r="D63" s="203"/>
      <c r="E63" s="203"/>
      <c r="F63" s="203"/>
    </row>
    <row r="64" spans="2:6" ht="25.5" customHeight="1" x14ac:dyDescent="0.25">
      <c r="B64" s="1277" t="s">
        <v>586</v>
      </c>
      <c r="C64" s="1270" t="s">
        <v>587</v>
      </c>
      <c r="D64" s="1271"/>
      <c r="E64" s="202">
        <f>عزل!J9</f>
        <v>18.116890000000001</v>
      </c>
      <c r="F64" s="202">
        <f t="shared" si="1"/>
        <v>22.646112500000001</v>
      </c>
    </row>
    <row r="65" spans="2:7" ht="25.5" customHeight="1" x14ac:dyDescent="0.25">
      <c r="B65" s="1278"/>
      <c r="C65" s="1270" t="s">
        <v>615</v>
      </c>
      <c r="D65" s="1271"/>
      <c r="E65" s="202">
        <v>35</v>
      </c>
      <c r="F65" s="202">
        <f t="shared" si="1"/>
        <v>43.75</v>
      </c>
    </row>
    <row r="66" spans="2:7" ht="25.5" customHeight="1" x14ac:dyDescent="0.25">
      <c r="B66" s="1278"/>
      <c r="C66" s="1270" t="s">
        <v>588</v>
      </c>
      <c r="D66" s="1271"/>
      <c r="E66" s="202">
        <f>عزل!J15</f>
        <v>139.45100000000002</v>
      </c>
      <c r="F66" s="202">
        <f t="shared" si="1"/>
        <v>174.31375000000003</v>
      </c>
    </row>
    <row r="67" spans="2:7" ht="27" customHeight="1" x14ac:dyDescent="0.25">
      <c r="B67" s="1278"/>
      <c r="C67" s="1270" t="s">
        <v>616</v>
      </c>
      <c r="D67" s="1271"/>
      <c r="E67" s="230">
        <v>58.5</v>
      </c>
      <c r="F67" s="202">
        <f t="shared" si="1"/>
        <v>73.125</v>
      </c>
      <c r="G67" s="182" t="s">
        <v>590</v>
      </c>
    </row>
    <row r="68" spans="2:7" ht="27" customHeight="1" x14ac:dyDescent="0.25">
      <c r="B68" s="1278"/>
      <c r="C68" s="1270" t="s">
        <v>589</v>
      </c>
      <c r="D68" s="1271"/>
      <c r="E68" s="230">
        <v>85</v>
      </c>
      <c r="F68" s="202">
        <f t="shared" si="1"/>
        <v>106.25</v>
      </c>
      <c r="G68" s="182" t="s">
        <v>590</v>
      </c>
    </row>
    <row r="69" spans="2:7" ht="27" customHeight="1" x14ac:dyDescent="0.25">
      <c r="B69" s="1279"/>
      <c r="C69" s="1270" t="s">
        <v>591</v>
      </c>
      <c r="D69" s="1271"/>
      <c r="E69" s="230">
        <v>78</v>
      </c>
      <c r="F69" s="202">
        <f t="shared" si="1"/>
        <v>97.5</v>
      </c>
      <c r="G69" s="182" t="s">
        <v>590</v>
      </c>
    </row>
    <row r="70" spans="2:7" ht="11.25" customHeight="1" x14ac:dyDescent="0.25">
      <c r="B70" s="229"/>
      <c r="C70" s="203"/>
      <c r="D70" s="203"/>
      <c r="E70" s="203"/>
      <c r="F70" s="203"/>
    </row>
  </sheetData>
  <mergeCells count="45">
    <mergeCell ref="C68:D68"/>
    <mergeCell ref="C69:D69"/>
    <mergeCell ref="C61:D61"/>
    <mergeCell ref="C54:D54"/>
    <mergeCell ref="C55:D55"/>
    <mergeCell ref="C56:D56"/>
    <mergeCell ref="C57:D57"/>
    <mergeCell ref="C58:D58"/>
    <mergeCell ref="B46:B52"/>
    <mergeCell ref="C37:D37"/>
    <mergeCell ref="C39:D39"/>
    <mergeCell ref="C40:D40"/>
    <mergeCell ref="C60:D60"/>
    <mergeCell ref="B2:F2"/>
    <mergeCell ref="C15:C20"/>
    <mergeCell ref="B34:B35"/>
    <mergeCell ref="C5:D5"/>
    <mergeCell ref="B4:D4"/>
    <mergeCell ref="B22:B26"/>
    <mergeCell ref="C28:C29"/>
    <mergeCell ref="C32:D32"/>
    <mergeCell ref="C34:D34"/>
    <mergeCell ref="C35:D35"/>
    <mergeCell ref="B28:B32"/>
    <mergeCell ref="C30:C31"/>
    <mergeCell ref="C6:D6"/>
    <mergeCell ref="C7:D7"/>
    <mergeCell ref="B5:B7"/>
    <mergeCell ref="C9:C13"/>
    <mergeCell ref="B9:B20"/>
    <mergeCell ref="C64:D64"/>
    <mergeCell ref="C66:D66"/>
    <mergeCell ref="C67:D67"/>
    <mergeCell ref="C49:C51"/>
    <mergeCell ref="C41:D41"/>
    <mergeCell ref="C42:D42"/>
    <mergeCell ref="C43:D43"/>
    <mergeCell ref="C44:D44"/>
    <mergeCell ref="B39:B44"/>
    <mergeCell ref="C62:D62"/>
    <mergeCell ref="B54:B62"/>
    <mergeCell ref="C59:D59"/>
    <mergeCell ref="C65:D65"/>
    <mergeCell ref="B64:B69"/>
    <mergeCell ref="C46:C48"/>
  </mergeCells>
  <hyperlinks>
    <hyperlink ref="B22:B26" location="المبانى!A1" display="المبانى" xr:uid="{00000000-0004-0000-1400-000000000000}"/>
    <hyperlink ref="B28:B32" location="البياض!A1" display="البياض" xr:uid="{00000000-0004-0000-1400-000001000000}"/>
    <hyperlink ref="B34:B35" location="الدهانات!A1" display="الدهانات" xr:uid="{00000000-0004-0000-1400-000002000000}"/>
    <hyperlink ref="B37" location="السليط!A1" display="السليط" xr:uid="{00000000-0004-0000-1400-000003000000}"/>
    <hyperlink ref="B39:B41" location="السيراميك!A1" display="السيراميك" xr:uid="{00000000-0004-0000-1400-000004000000}"/>
    <hyperlink ref="B46:B52" location="الرخام!A1" display="الرخام" xr:uid="{00000000-0004-0000-1400-000005000000}"/>
    <hyperlink ref="B5:B7" location="'حفر و احلال'!A1" display="حفر و احلال" xr:uid="{00000000-0004-0000-1400-000006000000}"/>
    <hyperlink ref="C9:C12" location="'خرسانة عادية'!A1" display="خرسانة عادية" xr:uid="{00000000-0004-0000-1400-000007000000}"/>
    <hyperlink ref="C15:C20" location="'خرسانة جاهزة'!A1" display="خرسانة مسلحة" xr:uid="{00000000-0004-0000-1400-000008000000}"/>
    <hyperlink ref="B54:B58" location="'النجارة '!Print_Titles" display="اعمال النجارة (باب و شباك)" xr:uid="{00000000-0004-0000-1400-000009000000}"/>
    <hyperlink ref="B64:B66" location="'2- عزل'!Print_Area" display="اعمال عزل" xr:uid="{00000000-0004-0000-1400-00000A000000}"/>
  </hyperlink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B2:B10"/>
  <sheetViews>
    <sheetView rightToLeft="1" topLeftCell="A4" workbookViewId="0"/>
  </sheetViews>
  <sheetFormatPr defaultColWidth="9" defaultRowHeight="15" x14ac:dyDescent="0.25"/>
  <cols>
    <col min="1" max="1" width="6.5703125" style="237" customWidth="1"/>
    <col min="2" max="2" width="72.140625" style="237" customWidth="1"/>
    <col min="3" max="16384" width="9" style="237"/>
  </cols>
  <sheetData>
    <row r="2" spans="2:2" ht="15.75" thickBot="1" x14ac:dyDescent="0.3"/>
    <row r="3" spans="2:2" ht="53.25" thickBot="1" x14ac:dyDescent="0.3">
      <c r="B3" s="305" t="s">
        <v>1085</v>
      </c>
    </row>
    <row r="4" spans="2:2" ht="32.25" customHeight="1" x14ac:dyDescent="0.25">
      <c r="B4" s="288" t="s">
        <v>1086</v>
      </c>
    </row>
    <row r="5" spans="2:2" ht="32.25" customHeight="1" x14ac:dyDescent="0.25">
      <c r="B5" s="289" t="s">
        <v>1087</v>
      </c>
    </row>
    <row r="6" spans="2:2" ht="32.25" customHeight="1" x14ac:dyDescent="0.25">
      <c r="B6" s="289" t="s">
        <v>1088</v>
      </c>
    </row>
    <row r="7" spans="2:2" ht="32.25" customHeight="1" x14ac:dyDescent="0.25">
      <c r="B7" s="289" t="s">
        <v>1089</v>
      </c>
    </row>
    <row r="8" spans="2:2" ht="32.25" customHeight="1" x14ac:dyDescent="0.25">
      <c r="B8" s="289" t="s">
        <v>1090</v>
      </c>
    </row>
    <row r="9" spans="2:2" ht="32.25" customHeight="1" x14ac:dyDescent="0.25">
      <c r="B9" s="289" t="s">
        <v>1091</v>
      </c>
    </row>
    <row r="10" spans="2:2" ht="18" x14ac:dyDescent="0.25">
      <c r="B10" s="293" t="s">
        <v>1092</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B5:O249"/>
  <sheetViews>
    <sheetView rightToLeft="1" topLeftCell="A208" zoomScale="80" zoomScaleNormal="80" workbookViewId="0">
      <selection activeCell="O27" sqref="O27"/>
    </sheetView>
  </sheetViews>
  <sheetFormatPr defaultRowHeight="15" x14ac:dyDescent="0.25"/>
  <cols>
    <col min="12" max="12" width="13.140625" customWidth="1"/>
  </cols>
  <sheetData>
    <row r="5" spans="2:15" ht="27.75" customHeight="1" x14ac:dyDescent="0.25">
      <c r="B5" s="251" t="s">
        <v>629</v>
      </c>
    </row>
    <row r="6" spans="2:15" ht="18" x14ac:dyDescent="0.25">
      <c r="B6" s="252" t="s">
        <v>630</v>
      </c>
    </row>
    <row r="7" spans="2:15" ht="18" x14ac:dyDescent="0.25">
      <c r="B7" s="252" t="s">
        <v>631</v>
      </c>
    </row>
    <row r="8" spans="2:15" ht="18" x14ac:dyDescent="0.25">
      <c r="B8" s="252" t="s">
        <v>632</v>
      </c>
    </row>
    <row r="9" spans="2:15" ht="18" x14ac:dyDescent="0.25">
      <c r="B9" s="252" t="s">
        <v>633</v>
      </c>
    </row>
    <row r="10" spans="2:15" ht="18" x14ac:dyDescent="0.25">
      <c r="B10" s="252" t="s">
        <v>634</v>
      </c>
    </row>
    <row r="11" spans="2:15" ht="18" x14ac:dyDescent="0.25">
      <c r="B11" s="252" t="s">
        <v>635</v>
      </c>
    </row>
    <row r="12" spans="2:15" ht="18" x14ac:dyDescent="0.25">
      <c r="B12" s="252" t="s">
        <v>636</v>
      </c>
    </row>
    <row r="13" spans="2:15" ht="18" x14ac:dyDescent="0.25">
      <c r="B13" s="252" t="s">
        <v>637</v>
      </c>
    </row>
    <row r="14" spans="2:15" ht="18" x14ac:dyDescent="0.25">
      <c r="B14" s="252" t="s">
        <v>638</v>
      </c>
    </row>
    <row r="15" spans="2:15" ht="18" x14ac:dyDescent="0.25">
      <c r="B15" s="252" t="s">
        <v>639</v>
      </c>
      <c r="L15" t="s">
        <v>809</v>
      </c>
      <c r="M15">
        <v>5500</v>
      </c>
      <c r="N15">
        <f>80/1000</f>
        <v>0.08</v>
      </c>
      <c r="O15">
        <f>M15*N15</f>
        <v>440</v>
      </c>
    </row>
    <row r="16" spans="2:15" ht="18" x14ac:dyDescent="0.25">
      <c r="B16" s="252" t="s">
        <v>640</v>
      </c>
      <c r="L16" t="s">
        <v>810</v>
      </c>
      <c r="O16">
        <v>330</v>
      </c>
    </row>
    <row r="17" spans="2:15" ht="18" x14ac:dyDescent="0.25">
      <c r="B17" s="252" t="s">
        <v>641</v>
      </c>
      <c r="L17" t="s">
        <v>11</v>
      </c>
      <c r="O17">
        <v>170</v>
      </c>
    </row>
    <row r="18" spans="2:15" ht="18" x14ac:dyDescent="0.25">
      <c r="B18" s="252" t="s">
        <v>642</v>
      </c>
      <c r="L18" t="s">
        <v>811</v>
      </c>
      <c r="O18">
        <v>4</v>
      </c>
    </row>
    <row r="19" spans="2:15" ht="18" x14ac:dyDescent="0.25">
      <c r="B19" s="252" t="s">
        <v>643</v>
      </c>
      <c r="L19" t="s">
        <v>812</v>
      </c>
      <c r="O19">
        <v>5</v>
      </c>
    </row>
    <row r="20" spans="2:15" ht="18" x14ac:dyDescent="0.25">
      <c r="B20" s="252" t="s">
        <v>644</v>
      </c>
      <c r="L20" t="s">
        <v>44</v>
      </c>
      <c r="O20">
        <v>5</v>
      </c>
    </row>
    <row r="21" spans="2:15" ht="18" x14ac:dyDescent="0.25">
      <c r="B21" s="252" t="s">
        <v>645</v>
      </c>
    </row>
    <row r="22" spans="2:15" ht="18" x14ac:dyDescent="0.25">
      <c r="B22" s="252" t="s">
        <v>646</v>
      </c>
    </row>
    <row r="23" spans="2:15" ht="18" x14ac:dyDescent="0.25">
      <c r="B23" s="252" t="s">
        <v>647</v>
      </c>
    </row>
    <row r="24" spans="2:15" x14ac:dyDescent="0.25">
      <c r="B24" s="250"/>
    </row>
    <row r="25" spans="2:15" ht="18" x14ac:dyDescent="0.25">
      <c r="B25" s="252" t="s">
        <v>648</v>
      </c>
    </row>
    <row r="26" spans="2:15" ht="18" x14ac:dyDescent="0.25">
      <c r="B26" s="252" t="s">
        <v>649</v>
      </c>
    </row>
    <row r="27" spans="2:15" ht="18" x14ac:dyDescent="0.25">
      <c r="B27" s="252" t="s">
        <v>650</v>
      </c>
    </row>
    <row r="28" spans="2:15" ht="18" x14ac:dyDescent="0.25">
      <c r="B28" s="252" t="s">
        <v>651</v>
      </c>
    </row>
    <row r="29" spans="2:15" ht="18" x14ac:dyDescent="0.25">
      <c r="B29" s="252" t="s">
        <v>652</v>
      </c>
    </row>
    <row r="30" spans="2:15" ht="18" x14ac:dyDescent="0.25">
      <c r="B30" s="252" t="s">
        <v>653</v>
      </c>
    </row>
    <row r="31" spans="2:15" ht="18" x14ac:dyDescent="0.25">
      <c r="B31" s="252" t="s">
        <v>654</v>
      </c>
    </row>
    <row r="32" spans="2:15" ht="18" x14ac:dyDescent="0.25">
      <c r="B32" s="252" t="s">
        <v>655</v>
      </c>
    </row>
    <row r="33" spans="2:2" x14ac:dyDescent="0.25">
      <c r="B33" s="250"/>
    </row>
    <row r="34" spans="2:2" ht="18" x14ac:dyDescent="0.25">
      <c r="B34" s="252" t="s">
        <v>656</v>
      </c>
    </row>
    <row r="35" spans="2:2" ht="18" x14ac:dyDescent="0.25">
      <c r="B35" s="251" t="s">
        <v>657</v>
      </c>
    </row>
    <row r="36" spans="2:2" ht="18" x14ac:dyDescent="0.25">
      <c r="B36" s="252" t="s">
        <v>658</v>
      </c>
    </row>
    <row r="37" spans="2:2" ht="18" x14ac:dyDescent="0.25">
      <c r="B37" s="252" t="s">
        <v>659</v>
      </c>
    </row>
    <row r="38" spans="2:2" ht="18" x14ac:dyDescent="0.25">
      <c r="B38" s="252" t="s">
        <v>660</v>
      </c>
    </row>
    <row r="39" spans="2:2" ht="18" x14ac:dyDescent="0.25">
      <c r="B39" s="252" t="s">
        <v>661</v>
      </c>
    </row>
    <row r="40" spans="2:2" ht="18" x14ac:dyDescent="0.25">
      <c r="B40" s="252" t="s">
        <v>662</v>
      </c>
    </row>
    <row r="41" spans="2:2" ht="18" x14ac:dyDescent="0.25">
      <c r="B41" s="253" t="s">
        <v>663</v>
      </c>
    </row>
    <row r="42" spans="2:2" ht="18" x14ac:dyDescent="0.25">
      <c r="B42" s="251" t="s">
        <v>664</v>
      </c>
    </row>
    <row r="43" spans="2:2" ht="18" x14ac:dyDescent="0.25">
      <c r="B43" s="252" t="s">
        <v>665</v>
      </c>
    </row>
    <row r="44" spans="2:2" ht="18" x14ac:dyDescent="0.25">
      <c r="B44" s="252" t="s">
        <v>666</v>
      </c>
    </row>
    <row r="45" spans="2:2" ht="18" x14ac:dyDescent="0.25">
      <c r="B45" s="252" t="s">
        <v>667</v>
      </c>
    </row>
    <row r="46" spans="2:2" ht="18" x14ac:dyDescent="0.25">
      <c r="B46" s="252" t="s">
        <v>637</v>
      </c>
    </row>
    <row r="47" spans="2:2" ht="18" x14ac:dyDescent="0.25">
      <c r="B47" s="252" t="s">
        <v>638</v>
      </c>
    </row>
    <row r="48" spans="2:2" ht="18" x14ac:dyDescent="0.25">
      <c r="B48" s="252" t="s">
        <v>639</v>
      </c>
    </row>
    <row r="49" spans="2:2" ht="18" x14ac:dyDescent="0.25">
      <c r="B49" s="252" t="s">
        <v>640</v>
      </c>
    </row>
    <row r="50" spans="2:2" ht="18" x14ac:dyDescent="0.25">
      <c r="B50" s="252" t="s">
        <v>668</v>
      </c>
    </row>
    <row r="51" spans="2:2" ht="18" x14ac:dyDescent="0.25">
      <c r="B51" s="252" t="s">
        <v>642</v>
      </c>
    </row>
    <row r="52" spans="2:2" ht="18" x14ac:dyDescent="0.25">
      <c r="B52" s="252" t="s">
        <v>643</v>
      </c>
    </row>
    <row r="53" spans="2:2" ht="18" x14ac:dyDescent="0.25">
      <c r="B53" s="252" t="s">
        <v>644</v>
      </c>
    </row>
    <row r="54" spans="2:2" ht="18" x14ac:dyDescent="0.25">
      <c r="B54" s="252" t="s">
        <v>669</v>
      </c>
    </row>
    <row r="55" spans="2:2" ht="18" x14ac:dyDescent="0.25">
      <c r="B55" s="252" t="s">
        <v>670</v>
      </c>
    </row>
    <row r="56" spans="2:2" ht="18" x14ac:dyDescent="0.25">
      <c r="B56" s="252" t="s">
        <v>671</v>
      </c>
    </row>
    <row r="57" spans="2:2" x14ac:dyDescent="0.25">
      <c r="B57" s="250"/>
    </row>
    <row r="58" spans="2:2" ht="18" x14ac:dyDescent="0.25">
      <c r="B58" s="251" t="s">
        <v>672</v>
      </c>
    </row>
    <row r="59" spans="2:2" ht="18" x14ac:dyDescent="0.25">
      <c r="B59" s="252" t="s">
        <v>673</v>
      </c>
    </row>
    <row r="60" spans="2:2" ht="18" x14ac:dyDescent="0.25">
      <c r="B60" s="252" t="s">
        <v>674</v>
      </c>
    </row>
    <row r="61" spans="2:2" ht="18" x14ac:dyDescent="0.25">
      <c r="B61" s="252" t="s">
        <v>637</v>
      </c>
    </row>
    <row r="62" spans="2:2" ht="18" x14ac:dyDescent="0.25">
      <c r="B62" s="252" t="s">
        <v>638</v>
      </c>
    </row>
    <row r="63" spans="2:2" ht="18" x14ac:dyDescent="0.25">
      <c r="B63" s="252" t="s">
        <v>639</v>
      </c>
    </row>
    <row r="64" spans="2:2" ht="18" x14ac:dyDescent="0.25">
      <c r="B64" s="252" t="s">
        <v>640</v>
      </c>
    </row>
    <row r="65" spans="2:2" ht="18" x14ac:dyDescent="0.25">
      <c r="B65" s="252" t="s">
        <v>675</v>
      </c>
    </row>
    <row r="66" spans="2:2" ht="18" x14ac:dyDescent="0.25">
      <c r="B66" s="252" t="s">
        <v>676</v>
      </c>
    </row>
    <row r="67" spans="2:2" ht="18" x14ac:dyDescent="0.25">
      <c r="B67" s="252" t="s">
        <v>677</v>
      </c>
    </row>
    <row r="68" spans="2:2" ht="18" x14ac:dyDescent="0.25">
      <c r="B68" s="252" t="s">
        <v>644</v>
      </c>
    </row>
    <row r="69" spans="2:2" ht="18" x14ac:dyDescent="0.25">
      <c r="B69" s="252" t="s">
        <v>678</v>
      </c>
    </row>
    <row r="70" spans="2:2" ht="18" x14ac:dyDescent="0.25">
      <c r="B70" s="252" t="s">
        <v>679</v>
      </c>
    </row>
    <row r="71" spans="2:2" ht="18" x14ac:dyDescent="0.25">
      <c r="B71" s="252" t="s">
        <v>680</v>
      </c>
    </row>
    <row r="72" spans="2:2" x14ac:dyDescent="0.25">
      <c r="B72" s="250"/>
    </row>
    <row r="73" spans="2:2" ht="18" x14ac:dyDescent="0.25">
      <c r="B73" s="251" t="s">
        <v>681</v>
      </c>
    </row>
    <row r="74" spans="2:2" ht="18" x14ac:dyDescent="0.25">
      <c r="B74" s="252" t="s">
        <v>682</v>
      </c>
    </row>
    <row r="75" spans="2:2" ht="18" x14ac:dyDescent="0.25">
      <c r="B75" s="252" t="s">
        <v>683</v>
      </c>
    </row>
    <row r="76" spans="2:2" ht="18" x14ac:dyDescent="0.25">
      <c r="B76" s="252" t="s">
        <v>637</v>
      </c>
    </row>
    <row r="77" spans="2:2" ht="18" x14ac:dyDescent="0.25">
      <c r="B77" s="252" t="s">
        <v>638</v>
      </c>
    </row>
    <row r="78" spans="2:2" ht="18" x14ac:dyDescent="0.25">
      <c r="B78" s="252" t="s">
        <v>639</v>
      </c>
    </row>
    <row r="79" spans="2:2" ht="18" x14ac:dyDescent="0.25">
      <c r="B79" s="252" t="s">
        <v>640</v>
      </c>
    </row>
    <row r="80" spans="2:2" ht="18" x14ac:dyDescent="0.25">
      <c r="B80" s="252" t="s">
        <v>641</v>
      </c>
    </row>
    <row r="81" spans="2:2" ht="18" x14ac:dyDescent="0.25">
      <c r="B81" s="252" t="s">
        <v>684</v>
      </c>
    </row>
    <row r="82" spans="2:2" ht="18" x14ac:dyDescent="0.25">
      <c r="B82" s="252" t="s">
        <v>643</v>
      </c>
    </row>
    <row r="83" spans="2:2" ht="18" x14ac:dyDescent="0.25">
      <c r="B83" s="252" t="s">
        <v>644</v>
      </c>
    </row>
    <row r="84" spans="2:2" ht="18" x14ac:dyDescent="0.25">
      <c r="B84" s="252" t="s">
        <v>685</v>
      </c>
    </row>
    <row r="85" spans="2:2" ht="18" x14ac:dyDescent="0.25">
      <c r="B85" s="252" t="s">
        <v>686</v>
      </c>
    </row>
    <row r="86" spans="2:2" ht="18" x14ac:dyDescent="0.25">
      <c r="B86" s="252" t="s">
        <v>687</v>
      </c>
    </row>
    <row r="87" spans="2:2" x14ac:dyDescent="0.25">
      <c r="B87" s="250"/>
    </row>
    <row r="88" spans="2:2" ht="18" x14ac:dyDescent="0.25">
      <c r="B88" s="251" t="s">
        <v>688</v>
      </c>
    </row>
    <row r="89" spans="2:2" ht="18" x14ac:dyDescent="0.25">
      <c r="B89" s="252" t="s">
        <v>689</v>
      </c>
    </row>
    <row r="90" spans="2:2" ht="18" x14ac:dyDescent="0.25">
      <c r="B90" s="252" t="s">
        <v>690</v>
      </c>
    </row>
    <row r="91" spans="2:2" ht="18" x14ac:dyDescent="0.25">
      <c r="B91" s="252" t="s">
        <v>691</v>
      </c>
    </row>
    <row r="92" spans="2:2" ht="18" x14ac:dyDescent="0.25">
      <c r="B92" s="252" t="s">
        <v>692</v>
      </c>
    </row>
    <row r="93" spans="2:2" ht="18" x14ac:dyDescent="0.25">
      <c r="B93" s="252" t="s">
        <v>693</v>
      </c>
    </row>
    <row r="94" spans="2:2" ht="18" x14ac:dyDescent="0.25">
      <c r="B94" s="252" t="s">
        <v>694</v>
      </c>
    </row>
    <row r="95" spans="2:2" ht="18" x14ac:dyDescent="0.25">
      <c r="B95" s="252" t="s">
        <v>695</v>
      </c>
    </row>
    <row r="96" spans="2:2" ht="18" x14ac:dyDescent="0.25">
      <c r="B96" s="252" t="s">
        <v>696</v>
      </c>
    </row>
    <row r="97" spans="2:2" ht="18" x14ac:dyDescent="0.25">
      <c r="B97" s="252" t="s">
        <v>697</v>
      </c>
    </row>
    <row r="98" spans="2:2" ht="18" x14ac:dyDescent="0.25">
      <c r="B98" s="252" t="s">
        <v>698</v>
      </c>
    </row>
    <row r="99" spans="2:2" ht="18" x14ac:dyDescent="0.25">
      <c r="B99" s="252" t="s">
        <v>699</v>
      </c>
    </row>
    <row r="100" spans="2:2" ht="18" x14ac:dyDescent="0.25">
      <c r="B100" s="252" t="s">
        <v>700</v>
      </c>
    </row>
    <row r="101" spans="2:2" ht="18" x14ac:dyDescent="0.25">
      <c r="B101" s="252" t="s">
        <v>701</v>
      </c>
    </row>
    <row r="102" spans="2:2" ht="18" x14ac:dyDescent="0.25">
      <c r="B102" s="252" t="s">
        <v>702</v>
      </c>
    </row>
    <row r="103" spans="2:2" ht="18" x14ac:dyDescent="0.25">
      <c r="B103" s="252" t="s">
        <v>703</v>
      </c>
    </row>
    <row r="104" spans="2:2" ht="18" x14ac:dyDescent="0.25">
      <c r="B104" s="252" t="s">
        <v>704</v>
      </c>
    </row>
    <row r="105" spans="2:2" ht="18" x14ac:dyDescent="0.25">
      <c r="B105" s="252" t="s">
        <v>705</v>
      </c>
    </row>
    <row r="106" spans="2:2" ht="18" x14ac:dyDescent="0.25">
      <c r="B106" s="252" t="s">
        <v>706</v>
      </c>
    </row>
    <row r="107" spans="2:2" x14ac:dyDescent="0.25">
      <c r="B107" s="250"/>
    </row>
    <row r="108" spans="2:2" ht="18" x14ac:dyDescent="0.25">
      <c r="B108" s="251" t="s">
        <v>707</v>
      </c>
    </row>
    <row r="109" spans="2:2" ht="18" x14ac:dyDescent="0.25">
      <c r="B109" s="252" t="s">
        <v>708</v>
      </c>
    </row>
    <row r="110" spans="2:2" ht="18" x14ac:dyDescent="0.25">
      <c r="B110" s="252" t="s">
        <v>709</v>
      </c>
    </row>
    <row r="111" spans="2:2" ht="18" x14ac:dyDescent="0.25">
      <c r="B111" s="252" t="s">
        <v>710</v>
      </c>
    </row>
    <row r="112" spans="2:2" ht="18" x14ac:dyDescent="0.25">
      <c r="B112" s="252" t="s">
        <v>711</v>
      </c>
    </row>
    <row r="113" spans="2:2" ht="18" x14ac:dyDescent="0.25">
      <c r="B113" s="252" t="s">
        <v>638</v>
      </c>
    </row>
    <row r="114" spans="2:2" ht="18" x14ac:dyDescent="0.25">
      <c r="B114" s="252" t="s">
        <v>639</v>
      </c>
    </row>
    <row r="115" spans="2:2" ht="18" x14ac:dyDescent="0.25">
      <c r="B115" s="252" t="s">
        <v>640</v>
      </c>
    </row>
    <row r="116" spans="2:2" ht="18" x14ac:dyDescent="0.25">
      <c r="B116" s="252" t="s">
        <v>712</v>
      </c>
    </row>
    <row r="117" spans="2:2" ht="18" x14ac:dyDescent="0.25">
      <c r="B117" s="252" t="s">
        <v>713</v>
      </c>
    </row>
    <row r="118" spans="2:2" ht="18" x14ac:dyDescent="0.25">
      <c r="B118" s="252" t="s">
        <v>714</v>
      </c>
    </row>
    <row r="119" spans="2:2" ht="18" x14ac:dyDescent="0.25">
      <c r="B119" s="252" t="s">
        <v>715</v>
      </c>
    </row>
    <row r="120" spans="2:2" ht="18" x14ac:dyDescent="0.25">
      <c r="B120" s="252" t="s">
        <v>716</v>
      </c>
    </row>
    <row r="121" spans="2:2" ht="18" x14ac:dyDescent="0.25">
      <c r="B121" s="252" t="s">
        <v>643</v>
      </c>
    </row>
    <row r="122" spans="2:2" ht="18" x14ac:dyDescent="0.25">
      <c r="B122" s="252" t="s">
        <v>644</v>
      </c>
    </row>
    <row r="123" spans="2:2" ht="18" x14ac:dyDescent="0.25">
      <c r="B123" s="252" t="s">
        <v>717</v>
      </c>
    </row>
    <row r="124" spans="2:2" ht="18" x14ac:dyDescent="0.25">
      <c r="B124" s="252" t="s">
        <v>718</v>
      </c>
    </row>
    <row r="125" spans="2:2" ht="18" x14ac:dyDescent="0.25">
      <c r="B125" s="252" t="s">
        <v>719</v>
      </c>
    </row>
    <row r="126" spans="2:2" x14ac:dyDescent="0.25">
      <c r="B126" s="250"/>
    </row>
    <row r="127" spans="2:2" ht="18" x14ac:dyDescent="0.25">
      <c r="B127" s="251" t="s">
        <v>720</v>
      </c>
    </row>
    <row r="128" spans="2:2" ht="18" x14ac:dyDescent="0.25">
      <c r="B128" s="252" t="s">
        <v>708</v>
      </c>
    </row>
    <row r="129" spans="2:2" ht="18" x14ac:dyDescent="0.25">
      <c r="B129" s="252" t="s">
        <v>721</v>
      </c>
    </row>
    <row r="130" spans="2:2" ht="18" x14ac:dyDescent="0.25">
      <c r="B130" s="252" t="s">
        <v>722</v>
      </c>
    </row>
    <row r="131" spans="2:2" ht="18" x14ac:dyDescent="0.25">
      <c r="B131" s="252" t="s">
        <v>723</v>
      </c>
    </row>
    <row r="132" spans="2:2" ht="18" x14ac:dyDescent="0.25">
      <c r="B132" s="252" t="s">
        <v>637</v>
      </c>
    </row>
    <row r="133" spans="2:2" ht="18" x14ac:dyDescent="0.25">
      <c r="B133" s="252" t="s">
        <v>638</v>
      </c>
    </row>
    <row r="134" spans="2:2" ht="18" x14ac:dyDescent="0.25">
      <c r="B134" s="252" t="s">
        <v>639</v>
      </c>
    </row>
    <row r="135" spans="2:2" ht="18" x14ac:dyDescent="0.25">
      <c r="B135" s="252" t="s">
        <v>640</v>
      </c>
    </row>
    <row r="136" spans="2:2" ht="18" x14ac:dyDescent="0.25">
      <c r="B136" s="252" t="s">
        <v>724</v>
      </c>
    </row>
    <row r="137" spans="2:2" ht="18" x14ac:dyDescent="0.25">
      <c r="B137" s="252" t="s">
        <v>713</v>
      </c>
    </row>
    <row r="138" spans="2:2" ht="18" x14ac:dyDescent="0.25">
      <c r="B138" s="252" t="s">
        <v>714</v>
      </c>
    </row>
    <row r="139" spans="2:2" ht="18" x14ac:dyDescent="0.25">
      <c r="B139" s="252" t="s">
        <v>715</v>
      </c>
    </row>
    <row r="140" spans="2:2" ht="18" x14ac:dyDescent="0.25">
      <c r="B140" s="252" t="s">
        <v>642</v>
      </c>
    </row>
    <row r="141" spans="2:2" ht="18" x14ac:dyDescent="0.25">
      <c r="B141" s="252" t="s">
        <v>643</v>
      </c>
    </row>
    <row r="142" spans="2:2" ht="18" x14ac:dyDescent="0.25">
      <c r="B142" s="252" t="s">
        <v>644</v>
      </c>
    </row>
    <row r="143" spans="2:2" ht="18" x14ac:dyDescent="0.25">
      <c r="B143" s="252" t="s">
        <v>725</v>
      </c>
    </row>
    <row r="144" spans="2:2" ht="18" x14ac:dyDescent="0.25">
      <c r="B144" s="252" t="s">
        <v>726</v>
      </c>
    </row>
    <row r="145" spans="2:2" ht="18" x14ac:dyDescent="0.25">
      <c r="B145" s="252" t="s">
        <v>727</v>
      </c>
    </row>
    <row r="146" spans="2:2" x14ac:dyDescent="0.25">
      <c r="B146" s="250"/>
    </row>
    <row r="147" spans="2:2" ht="18" x14ac:dyDescent="0.25">
      <c r="B147" s="251" t="s">
        <v>728</v>
      </c>
    </row>
    <row r="148" spans="2:2" ht="18" x14ac:dyDescent="0.25">
      <c r="B148" s="252" t="s">
        <v>708</v>
      </c>
    </row>
    <row r="149" spans="2:2" ht="18" x14ac:dyDescent="0.25">
      <c r="B149" s="252" t="s">
        <v>729</v>
      </c>
    </row>
    <row r="150" spans="2:2" ht="18" x14ac:dyDescent="0.25">
      <c r="B150" s="252" t="s">
        <v>730</v>
      </c>
    </row>
    <row r="151" spans="2:2" ht="18" x14ac:dyDescent="0.25">
      <c r="B151" s="252" t="s">
        <v>731</v>
      </c>
    </row>
    <row r="152" spans="2:2" ht="18" x14ac:dyDescent="0.25">
      <c r="B152" s="252" t="s">
        <v>732</v>
      </c>
    </row>
    <row r="153" spans="2:2" ht="18" x14ac:dyDescent="0.25">
      <c r="B153" s="252" t="s">
        <v>733</v>
      </c>
    </row>
    <row r="154" spans="2:2" ht="18" x14ac:dyDescent="0.25">
      <c r="B154" s="252" t="s">
        <v>638</v>
      </c>
    </row>
    <row r="155" spans="2:2" ht="18" x14ac:dyDescent="0.25">
      <c r="B155" s="252" t="s">
        <v>734</v>
      </c>
    </row>
    <row r="156" spans="2:2" ht="18" x14ac:dyDescent="0.25">
      <c r="B156" s="252" t="s">
        <v>735</v>
      </c>
    </row>
    <row r="157" spans="2:2" ht="18" x14ac:dyDescent="0.25">
      <c r="B157" s="252" t="s">
        <v>736</v>
      </c>
    </row>
    <row r="158" spans="2:2" ht="18" x14ac:dyDescent="0.25">
      <c r="B158" s="252" t="s">
        <v>737</v>
      </c>
    </row>
    <row r="159" spans="2:2" ht="18" x14ac:dyDescent="0.25">
      <c r="B159" s="252" t="s">
        <v>738</v>
      </c>
    </row>
    <row r="160" spans="2:2" ht="18" x14ac:dyDescent="0.25">
      <c r="B160" s="252" t="s">
        <v>739</v>
      </c>
    </row>
    <row r="161" spans="2:2" ht="18" x14ac:dyDescent="0.25">
      <c r="B161" s="252" t="s">
        <v>644</v>
      </c>
    </row>
    <row r="162" spans="2:2" ht="18" x14ac:dyDescent="0.25">
      <c r="B162" s="252" t="s">
        <v>740</v>
      </c>
    </row>
    <row r="163" spans="2:2" ht="18" x14ac:dyDescent="0.25">
      <c r="B163" s="252" t="s">
        <v>741</v>
      </c>
    </row>
    <row r="164" spans="2:2" ht="18" x14ac:dyDescent="0.25">
      <c r="B164" s="252" t="s">
        <v>742</v>
      </c>
    </row>
    <row r="165" spans="2:2" x14ac:dyDescent="0.25">
      <c r="B165" s="250"/>
    </row>
    <row r="166" spans="2:2" ht="18" x14ac:dyDescent="0.25">
      <c r="B166" s="251" t="s">
        <v>743</v>
      </c>
    </row>
    <row r="167" spans="2:2" ht="18" x14ac:dyDescent="0.25">
      <c r="B167" s="252" t="s">
        <v>708</v>
      </c>
    </row>
    <row r="168" spans="2:2" ht="18" x14ac:dyDescent="0.25">
      <c r="B168" s="252" t="s">
        <v>744</v>
      </c>
    </row>
    <row r="169" spans="2:2" ht="18" x14ac:dyDescent="0.25">
      <c r="B169" s="252" t="s">
        <v>745</v>
      </c>
    </row>
    <row r="170" spans="2:2" ht="18" x14ac:dyDescent="0.25">
      <c r="B170" s="252" t="s">
        <v>746</v>
      </c>
    </row>
    <row r="171" spans="2:2" ht="18" x14ac:dyDescent="0.25">
      <c r="B171" s="252" t="s">
        <v>747</v>
      </c>
    </row>
    <row r="172" spans="2:2" ht="18" x14ac:dyDescent="0.25">
      <c r="B172" s="252" t="s">
        <v>748</v>
      </c>
    </row>
    <row r="173" spans="2:2" ht="18" x14ac:dyDescent="0.25">
      <c r="B173" s="252" t="s">
        <v>749</v>
      </c>
    </row>
    <row r="174" spans="2:2" ht="18" x14ac:dyDescent="0.25">
      <c r="B174" s="252" t="s">
        <v>750</v>
      </c>
    </row>
    <row r="175" spans="2:2" ht="18" x14ac:dyDescent="0.25">
      <c r="B175" s="252" t="s">
        <v>751</v>
      </c>
    </row>
    <row r="176" spans="2:2" ht="18" x14ac:dyDescent="0.25">
      <c r="B176" s="252" t="s">
        <v>752</v>
      </c>
    </row>
    <row r="177" spans="2:2" ht="18" x14ac:dyDescent="0.25">
      <c r="B177" s="252" t="s">
        <v>753</v>
      </c>
    </row>
    <row r="178" spans="2:2" ht="18" x14ac:dyDescent="0.25">
      <c r="B178" s="252" t="s">
        <v>754</v>
      </c>
    </row>
    <row r="179" spans="2:2" ht="18" x14ac:dyDescent="0.25">
      <c r="B179" s="252" t="s">
        <v>755</v>
      </c>
    </row>
    <row r="180" spans="2:2" ht="18" x14ac:dyDescent="0.25">
      <c r="B180" s="252" t="s">
        <v>756</v>
      </c>
    </row>
    <row r="181" spans="2:2" ht="18" x14ac:dyDescent="0.25">
      <c r="B181" s="252" t="s">
        <v>757</v>
      </c>
    </row>
    <row r="182" spans="2:2" ht="18" x14ac:dyDescent="0.25">
      <c r="B182" s="252" t="s">
        <v>758</v>
      </c>
    </row>
    <row r="183" spans="2:2" ht="18" x14ac:dyDescent="0.25">
      <c r="B183" s="252" t="s">
        <v>759</v>
      </c>
    </row>
    <row r="184" spans="2:2" ht="18" x14ac:dyDescent="0.25">
      <c r="B184" s="252" t="s">
        <v>760</v>
      </c>
    </row>
    <row r="185" spans="2:2" ht="18" x14ac:dyDescent="0.25">
      <c r="B185" s="252" t="s">
        <v>761</v>
      </c>
    </row>
    <row r="186" spans="2:2" ht="18" x14ac:dyDescent="0.25">
      <c r="B186" s="252" t="s">
        <v>762</v>
      </c>
    </row>
    <row r="187" spans="2:2" ht="18" x14ac:dyDescent="0.25">
      <c r="B187" s="252" t="s">
        <v>763</v>
      </c>
    </row>
    <row r="188" spans="2:2" ht="18" x14ac:dyDescent="0.25">
      <c r="B188" s="252" t="s">
        <v>764</v>
      </c>
    </row>
    <row r="189" spans="2:2" ht="18" x14ac:dyDescent="0.25">
      <c r="B189" s="252" t="s">
        <v>739</v>
      </c>
    </row>
    <row r="190" spans="2:2" ht="18" x14ac:dyDescent="0.25">
      <c r="B190" s="252" t="s">
        <v>644</v>
      </c>
    </row>
    <row r="191" spans="2:2" ht="18" x14ac:dyDescent="0.25">
      <c r="B191" s="252" t="s">
        <v>765</v>
      </c>
    </row>
    <row r="192" spans="2:2" ht="18" x14ac:dyDescent="0.25">
      <c r="B192" s="252" t="s">
        <v>766</v>
      </c>
    </row>
    <row r="193" spans="2:2" ht="18" x14ac:dyDescent="0.25">
      <c r="B193" s="252" t="s">
        <v>767</v>
      </c>
    </row>
    <row r="194" spans="2:2" x14ac:dyDescent="0.25">
      <c r="B194" s="250"/>
    </row>
    <row r="195" spans="2:2" ht="18" x14ac:dyDescent="0.25">
      <c r="B195" s="251" t="s">
        <v>768</v>
      </c>
    </row>
    <row r="196" spans="2:2" ht="18" x14ac:dyDescent="0.25">
      <c r="B196" s="252" t="s">
        <v>708</v>
      </c>
    </row>
    <row r="197" spans="2:2" ht="18" x14ac:dyDescent="0.25">
      <c r="B197" s="252" t="s">
        <v>769</v>
      </c>
    </row>
    <row r="198" spans="2:2" ht="18" x14ac:dyDescent="0.25">
      <c r="B198" s="252" t="s">
        <v>770</v>
      </c>
    </row>
    <row r="199" spans="2:2" ht="18" x14ac:dyDescent="0.25">
      <c r="B199" s="252" t="s">
        <v>771</v>
      </c>
    </row>
    <row r="200" spans="2:2" ht="18" x14ac:dyDescent="0.25">
      <c r="B200" s="252" t="s">
        <v>637</v>
      </c>
    </row>
    <row r="201" spans="2:2" ht="18" x14ac:dyDescent="0.25">
      <c r="B201" s="252" t="s">
        <v>772</v>
      </c>
    </row>
    <row r="202" spans="2:2" ht="18" x14ac:dyDescent="0.25">
      <c r="B202" s="252" t="s">
        <v>773</v>
      </c>
    </row>
    <row r="203" spans="2:2" ht="18" x14ac:dyDescent="0.25">
      <c r="B203" s="252" t="s">
        <v>638</v>
      </c>
    </row>
    <row r="204" spans="2:2" ht="18" x14ac:dyDescent="0.25">
      <c r="B204" s="252" t="s">
        <v>639</v>
      </c>
    </row>
    <row r="205" spans="2:2" ht="18" x14ac:dyDescent="0.25">
      <c r="B205" s="252" t="s">
        <v>774</v>
      </c>
    </row>
    <row r="206" spans="2:2" ht="18" x14ac:dyDescent="0.25">
      <c r="B206" s="252" t="s">
        <v>775</v>
      </c>
    </row>
    <row r="207" spans="2:2" ht="18" x14ac:dyDescent="0.25">
      <c r="B207" s="252" t="s">
        <v>776</v>
      </c>
    </row>
    <row r="208" spans="2:2" ht="18" x14ac:dyDescent="0.25">
      <c r="B208" s="252" t="s">
        <v>777</v>
      </c>
    </row>
    <row r="209" spans="2:2" ht="18" x14ac:dyDescent="0.25">
      <c r="B209" s="252" t="s">
        <v>640</v>
      </c>
    </row>
    <row r="210" spans="2:2" ht="18" x14ac:dyDescent="0.25">
      <c r="B210" s="252" t="s">
        <v>778</v>
      </c>
    </row>
    <row r="211" spans="2:2" ht="18" x14ac:dyDescent="0.25">
      <c r="B211" s="252" t="s">
        <v>642</v>
      </c>
    </row>
    <row r="212" spans="2:2" ht="18" x14ac:dyDescent="0.25">
      <c r="B212" s="252" t="s">
        <v>643</v>
      </c>
    </row>
    <row r="213" spans="2:2" ht="18" x14ac:dyDescent="0.25">
      <c r="B213" s="252" t="s">
        <v>644</v>
      </c>
    </row>
    <row r="214" spans="2:2" ht="18" x14ac:dyDescent="0.25">
      <c r="B214" s="252" t="s">
        <v>779</v>
      </c>
    </row>
    <row r="215" spans="2:2" ht="18" x14ac:dyDescent="0.25">
      <c r="B215" s="252" t="s">
        <v>780</v>
      </c>
    </row>
    <row r="216" spans="2:2" ht="18" x14ac:dyDescent="0.25">
      <c r="B216" s="252" t="s">
        <v>781</v>
      </c>
    </row>
    <row r="217" spans="2:2" x14ac:dyDescent="0.25">
      <c r="B217" s="250"/>
    </row>
    <row r="218" spans="2:2" ht="18" x14ac:dyDescent="0.25">
      <c r="B218" s="251" t="s">
        <v>782</v>
      </c>
    </row>
    <row r="219" spans="2:2" ht="18" x14ac:dyDescent="0.25">
      <c r="B219" s="252" t="s">
        <v>783</v>
      </c>
    </row>
    <row r="220" spans="2:2" ht="18" x14ac:dyDescent="0.25">
      <c r="B220" s="252" t="s">
        <v>784</v>
      </c>
    </row>
    <row r="221" spans="2:2" ht="18" x14ac:dyDescent="0.25">
      <c r="B221" s="252" t="s">
        <v>785</v>
      </c>
    </row>
    <row r="222" spans="2:2" ht="18" x14ac:dyDescent="0.25">
      <c r="B222" s="252" t="s">
        <v>708</v>
      </c>
    </row>
    <row r="223" spans="2:2" ht="18" x14ac:dyDescent="0.25">
      <c r="B223" s="252" t="s">
        <v>786</v>
      </c>
    </row>
    <row r="224" spans="2:2" ht="18" x14ac:dyDescent="0.25">
      <c r="B224" s="252" t="s">
        <v>637</v>
      </c>
    </row>
    <row r="225" spans="2:2" ht="18" x14ac:dyDescent="0.25">
      <c r="B225" s="252" t="s">
        <v>787</v>
      </c>
    </row>
    <row r="226" spans="2:2" ht="18" x14ac:dyDescent="0.25">
      <c r="B226" s="252" t="s">
        <v>788</v>
      </c>
    </row>
    <row r="227" spans="2:2" ht="18" x14ac:dyDescent="0.25">
      <c r="B227" s="252" t="s">
        <v>789</v>
      </c>
    </row>
    <row r="228" spans="2:2" ht="18" x14ac:dyDescent="0.25">
      <c r="B228" s="252" t="s">
        <v>790</v>
      </c>
    </row>
    <row r="229" spans="2:2" ht="18" x14ac:dyDescent="0.25">
      <c r="B229" s="252" t="s">
        <v>791</v>
      </c>
    </row>
    <row r="230" spans="2:2" ht="18" x14ac:dyDescent="0.25">
      <c r="B230" s="252" t="s">
        <v>644</v>
      </c>
    </row>
    <row r="231" spans="2:2" ht="18" x14ac:dyDescent="0.25">
      <c r="B231" s="252" t="s">
        <v>792</v>
      </c>
    </row>
    <row r="232" spans="2:2" ht="18" x14ac:dyDescent="0.25">
      <c r="B232" s="252" t="s">
        <v>793</v>
      </c>
    </row>
    <row r="233" spans="2:2" ht="18" x14ac:dyDescent="0.25">
      <c r="B233" s="252" t="s">
        <v>794</v>
      </c>
    </row>
    <row r="235" spans="2:2" ht="18.75" x14ac:dyDescent="0.3">
      <c r="B235" s="254" t="s">
        <v>795</v>
      </c>
    </row>
    <row r="236" spans="2:2" ht="18.75" x14ac:dyDescent="0.3">
      <c r="B236" s="255" t="s">
        <v>796</v>
      </c>
    </row>
    <row r="237" spans="2:2" ht="18.75" x14ac:dyDescent="0.3">
      <c r="B237" s="255" t="s">
        <v>797</v>
      </c>
    </row>
    <row r="238" spans="2:2" ht="18.75" x14ac:dyDescent="0.3">
      <c r="B238" s="255" t="s">
        <v>798</v>
      </c>
    </row>
    <row r="239" spans="2:2" ht="18.75" x14ac:dyDescent="0.3">
      <c r="B239" s="255" t="s">
        <v>799</v>
      </c>
    </row>
    <row r="240" spans="2:2" ht="18.75" x14ac:dyDescent="0.3">
      <c r="B240" s="255" t="s">
        <v>800</v>
      </c>
    </row>
    <row r="241" spans="2:2" ht="18.75" x14ac:dyDescent="0.3">
      <c r="B241" s="255" t="s">
        <v>801</v>
      </c>
    </row>
    <row r="242" spans="2:2" ht="18.75" x14ac:dyDescent="0.3">
      <c r="B242" s="255" t="s">
        <v>802</v>
      </c>
    </row>
    <row r="243" spans="2:2" ht="18.75" x14ac:dyDescent="0.3">
      <c r="B243" s="255" t="s">
        <v>637</v>
      </c>
    </row>
    <row r="244" spans="2:2" ht="18.75" x14ac:dyDescent="0.3">
      <c r="B244" s="255" t="s">
        <v>803</v>
      </c>
    </row>
    <row r="245" spans="2:2" ht="18.75" x14ac:dyDescent="0.3">
      <c r="B245" s="255" t="s">
        <v>804</v>
      </c>
    </row>
    <row r="246" spans="2:2" ht="18.75" x14ac:dyDescent="0.3">
      <c r="B246" s="255" t="s">
        <v>805</v>
      </c>
    </row>
    <row r="247" spans="2:2" ht="18.75" x14ac:dyDescent="0.3">
      <c r="B247" s="255" t="s">
        <v>806</v>
      </c>
    </row>
    <row r="248" spans="2:2" ht="18.75" x14ac:dyDescent="0.3">
      <c r="B248" s="255" t="s">
        <v>807</v>
      </c>
    </row>
    <row r="249" spans="2:2" ht="18.75" x14ac:dyDescent="0.3">
      <c r="B249" s="255" t="s">
        <v>808</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B2:B92"/>
  <sheetViews>
    <sheetView rightToLeft="1" workbookViewId="0">
      <selection activeCell="M5" sqref="M5"/>
    </sheetView>
  </sheetViews>
  <sheetFormatPr defaultRowHeight="15" x14ac:dyDescent="0.25"/>
  <sheetData>
    <row r="2" spans="2:2" ht="18" x14ac:dyDescent="0.25">
      <c r="B2" s="251" t="s">
        <v>846</v>
      </c>
    </row>
    <row r="3" spans="2:2" ht="18" x14ac:dyDescent="0.25">
      <c r="B3" s="251" t="s">
        <v>847</v>
      </c>
    </row>
    <row r="4" spans="2:2" ht="18" x14ac:dyDescent="0.25">
      <c r="B4" s="252" t="s">
        <v>631</v>
      </c>
    </row>
    <row r="5" spans="2:2" ht="18" x14ac:dyDescent="0.25">
      <c r="B5" s="252" t="s">
        <v>848</v>
      </c>
    </row>
    <row r="6" spans="2:2" ht="18" x14ac:dyDescent="0.25">
      <c r="B6" s="252" t="s">
        <v>849</v>
      </c>
    </row>
    <row r="7" spans="2:2" ht="18" x14ac:dyDescent="0.25">
      <c r="B7" s="252" t="s">
        <v>850</v>
      </c>
    </row>
    <row r="8" spans="2:2" ht="18" x14ac:dyDescent="0.25">
      <c r="B8" s="252" t="s">
        <v>851</v>
      </c>
    </row>
    <row r="9" spans="2:2" ht="18" x14ac:dyDescent="0.25">
      <c r="B9" s="252" t="s">
        <v>852</v>
      </c>
    </row>
    <row r="10" spans="2:2" x14ac:dyDescent="0.25">
      <c r="B10" s="250"/>
    </row>
    <row r="11" spans="2:2" ht="18" x14ac:dyDescent="0.25">
      <c r="B11" s="251" t="s">
        <v>853</v>
      </c>
    </row>
    <row r="12" spans="2:2" ht="18" x14ac:dyDescent="0.25">
      <c r="B12" s="251" t="s">
        <v>854</v>
      </c>
    </row>
    <row r="13" spans="2:2" ht="18" x14ac:dyDescent="0.25">
      <c r="B13" s="252" t="s">
        <v>631</v>
      </c>
    </row>
    <row r="14" spans="2:2" ht="18" x14ac:dyDescent="0.25">
      <c r="B14" s="252" t="s">
        <v>855</v>
      </c>
    </row>
    <row r="15" spans="2:2" ht="18" x14ac:dyDescent="0.25">
      <c r="B15" s="252" t="s">
        <v>856</v>
      </c>
    </row>
    <row r="16" spans="2:2" ht="18" x14ac:dyDescent="0.25">
      <c r="B16" s="252" t="s">
        <v>857</v>
      </c>
    </row>
    <row r="17" spans="2:2" ht="18" x14ac:dyDescent="0.25">
      <c r="B17" s="252" t="s">
        <v>858</v>
      </c>
    </row>
    <row r="18" spans="2:2" ht="18" x14ac:dyDescent="0.25">
      <c r="B18" s="252" t="s">
        <v>859</v>
      </c>
    </row>
    <row r="19" spans="2:2" ht="18" x14ac:dyDescent="0.25">
      <c r="B19" s="252" t="s">
        <v>860</v>
      </c>
    </row>
    <row r="20" spans="2:2" x14ac:dyDescent="0.25">
      <c r="B20" s="250"/>
    </row>
    <row r="21" spans="2:2" ht="18" x14ac:dyDescent="0.25">
      <c r="B21" s="251" t="s">
        <v>861</v>
      </c>
    </row>
    <row r="22" spans="2:2" ht="18" x14ac:dyDescent="0.25">
      <c r="B22" s="252" t="s">
        <v>631</v>
      </c>
    </row>
    <row r="23" spans="2:2" ht="18" x14ac:dyDescent="0.25">
      <c r="B23" s="252" t="s">
        <v>862</v>
      </c>
    </row>
    <row r="24" spans="2:2" ht="18" x14ac:dyDescent="0.25">
      <c r="B24" s="252" t="s">
        <v>863</v>
      </c>
    </row>
    <row r="25" spans="2:2" ht="18" x14ac:dyDescent="0.25">
      <c r="B25" s="252" t="s">
        <v>864</v>
      </c>
    </row>
    <row r="26" spans="2:2" ht="18" x14ac:dyDescent="0.25">
      <c r="B26" s="252" t="s">
        <v>865</v>
      </c>
    </row>
    <row r="27" spans="2:2" ht="18" x14ac:dyDescent="0.25">
      <c r="B27" s="252" t="s">
        <v>866</v>
      </c>
    </row>
    <row r="28" spans="2:2" ht="18" x14ac:dyDescent="0.25">
      <c r="B28" s="252" t="s">
        <v>867</v>
      </c>
    </row>
    <row r="29" spans="2:2" ht="18" x14ac:dyDescent="0.25">
      <c r="B29" s="252" t="s">
        <v>868</v>
      </c>
    </row>
    <row r="30" spans="2:2" ht="18" x14ac:dyDescent="0.25">
      <c r="B30" s="252" t="s">
        <v>869</v>
      </c>
    </row>
    <row r="31" spans="2:2" ht="18" x14ac:dyDescent="0.25">
      <c r="B31" s="252" t="s">
        <v>870</v>
      </c>
    </row>
    <row r="32" spans="2:2" ht="18" x14ac:dyDescent="0.25">
      <c r="B32" s="252" t="s">
        <v>871</v>
      </c>
    </row>
    <row r="33" spans="2:2" ht="18" x14ac:dyDescent="0.25">
      <c r="B33" s="252" t="s">
        <v>872</v>
      </c>
    </row>
    <row r="34" spans="2:2" ht="18" x14ac:dyDescent="0.25">
      <c r="B34" s="252" t="s">
        <v>873</v>
      </c>
    </row>
    <row r="35" spans="2:2" ht="18" x14ac:dyDescent="0.25">
      <c r="B35" s="252" t="s">
        <v>874</v>
      </c>
    </row>
    <row r="36" spans="2:2" ht="18" x14ac:dyDescent="0.25">
      <c r="B36" s="252" t="s">
        <v>875</v>
      </c>
    </row>
    <row r="38" spans="2:2" ht="18.75" x14ac:dyDescent="0.3">
      <c r="B38" s="254" t="s">
        <v>876</v>
      </c>
    </row>
    <row r="39" spans="2:2" ht="18.75" x14ac:dyDescent="0.3">
      <c r="B39" s="255" t="s">
        <v>631</v>
      </c>
    </row>
    <row r="40" spans="2:2" ht="18.75" x14ac:dyDescent="0.3">
      <c r="B40" s="255" t="s">
        <v>863</v>
      </c>
    </row>
    <row r="41" spans="2:2" ht="18.75" x14ac:dyDescent="0.3">
      <c r="B41" s="255" t="s">
        <v>877</v>
      </c>
    </row>
    <row r="42" spans="2:2" ht="18.75" x14ac:dyDescent="0.3">
      <c r="B42" s="255" t="s">
        <v>866</v>
      </c>
    </row>
    <row r="43" spans="2:2" ht="18.75" x14ac:dyDescent="0.3">
      <c r="B43" s="255" t="s">
        <v>878</v>
      </c>
    </row>
    <row r="44" spans="2:2" ht="18.75" x14ac:dyDescent="0.3">
      <c r="B44" s="255" t="s">
        <v>879</v>
      </c>
    </row>
    <row r="45" spans="2:2" ht="18.75" x14ac:dyDescent="0.3">
      <c r="B45" s="255" t="s">
        <v>869</v>
      </c>
    </row>
    <row r="46" spans="2:2" ht="18.75" x14ac:dyDescent="0.3">
      <c r="B46" s="255" t="s">
        <v>880</v>
      </c>
    </row>
    <row r="47" spans="2:2" ht="18.75" x14ac:dyDescent="0.3">
      <c r="B47" s="255" t="s">
        <v>881</v>
      </c>
    </row>
    <row r="48" spans="2:2" ht="18.75" x14ac:dyDescent="0.3">
      <c r="B48" s="255" t="s">
        <v>882</v>
      </c>
    </row>
    <row r="50" spans="2:2" ht="18.75" x14ac:dyDescent="0.3">
      <c r="B50" s="254" t="s">
        <v>883</v>
      </c>
    </row>
    <row r="51" spans="2:2" ht="18.75" x14ac:dyDescent="0.3">
      <c r="B51" s="255" t="s">
        <v>884</v>
      </c>
    </row>
    <row r="52" spans="2:2" ht="18.75" x14ac:dyDescent="0.3">
      <c r="B52" s="255" t="s">
        <v>631</v>
      </c>
    </row>
    <row r="53" spans="2:2" ht="18.75" x14ac:dyDescent="0.3">
      <c r="B53" s="255" t="s">
        <v>885</v>
      </c>
    </row>
    <row r="54" spans="2:2" ht="18.75" x14ac:dyDescent="0.3">
      <c r="B54" s="255" t="s">
        <v>886</v>
      </c>
    </row>
    <row r="55" spans="2:2" ht="18.75" x14ac:dyDescent="0.3">
      <c r="B55" s="255" t="s">
        <v>864</v>
      </c>
    </row>
    <row r="56" spans="2:2" ht="18.75" x14ac:dyDescent="0.3">
      <c r="B56" s="255" t="s">
        <v>865</v>
      </c>
    </row>
    <row r="57" spans="2:2" ht="18.75" x14ac:dyDescent="0.3">
      <c r="B57" s="255" t="s">
        <v>866</v>
      </c>
    </row>
    <row r="58" spans="2:2" ht="18.75" x14ac:dyDescent="0.3">
      <c r="B58" s="255" t="s">
        <v>867</v>
      </c>
    </row>
    <row r="59" spans="2:2" ht="18.75" x14ac:dyDescent="0.3">
      <c r="B59" s="255" t="s">
        <v>887</v>
      </c>
    </row>
    <row r="60" spans="2:2" ht="18.75" x14ac:dyDescent="0.3">
      <c r="B60" s="255" t="s">
        <v>888</v>
      </c>
    </row>
    <row r="61" spans="2:2" ht="18.75" x14ac:dyDescent="0.3">
      <c r="B61" s="255" t="s">
        <v>870</v>
      </c>
    </row>
    <row r="62" spans="2:2" ht="18.75" x14ac:dyDescent="0.3">
      <c r="B62" s="255" t="s">
        <v>871</v>
      </c>
    </row>
    <row r="63" spans="2:2" ht="18.75" x14ac:dyDescent="0.3">
      <c r="B63" s="255" t="s">
        <v>889</v>
      </c>
    </row>
    <row r="64" spans="2:2" ht="18.75" x14ac:dyDescent="0.3">
      <c r="B64" s="255" t="s">
        <v>890</v>
      </c>
    </row>
    <row r="65" spans="2:2" ht="18.75" x14ac:dyDescent="0.3">
      <c r="B65" s="255" t="s">
        <v>891</v>
      </c>
    </row>
    <row r="66" spans="2:2" ht="18.75" x14ac:dyDescent="0.3">
      <c r="B66" s="255" t="s">
        <v>892</v>
      </c>
    </row>
    <row r="68" spans="2:2" ht="18.75" x14ac:dyDescent="0.3">
      <c r="B68" s="254" t="s">
        <v>893</v>
      </c>
    </row>
    <row r="69" spans="2:2" ht="18.75" x14ac:dyDescent="0.3">
      <c r="B69" s="255" t="s">
        <v>894</v>
      </c>
    </row>
    <row r="70" spans="2:2" ht="18.75" x14ac:dyDescent="0.3">
      <c r="B70" s="255" t="s">
        <v>631</v>
      </c>
    </row>
    <row r="71" spans="2:2" ht="18.75" x14ac:dyDescent="0.3">
      <c r="B71" s="255" t="s">
        <v>885</v>
      </c>
    </row>
    <row r="72" spans="2:2" ht="18.75" x14ac:dyDescent="0.3">
      <c r="B72" s="255" t="s">
        <v>864</v>
      </c>
    </row>
    <row r="73" spans="2:2" ht="18.75" x14ac:dyDescent="0.3">
      <c r="B73" s="255" t="s">
        <v>865</v>
      </c>
    </row>
    <row r="74" spans="2:2" ht="18.75" x14ac:dyDescent="0.3">
      <c r="B74" s="255" t="s">
        <v>866</v>
      </c>
    </row>
    <row r="75" spans="2:2" ht="18.75" x14ac:dyDescent="0.3">
      <c r="B75" s="255" t="s">
        <v>867</v>
      </c>
    </row>
    <row r="76" spans="2:2" ht="18.75" x14ac:dyDescent="0.3">
      <c r="B76" s="255" t="s">
        <v>887</v>
      </c>
    </row>
    <row r="77" spans="2:2" ht="18.75" x14ac:dyDescent="0.3">
      <c r="B77" s="255" t="s">
        <v>895</v>
      </c>
    </row>
    <row r="78" spans="2:2" ht="18.75" x14ac:dyDescent="0.3">
      <c r="B78" s="255" t="s">
        <v>896</v>
      </c>
    </row>
    <row r="79" spans="2:2" ht="18.75" x14ac:dyDescent="0.3">
      <c r="B79" s="255" t="s">
        <v>897</v>
      </c>
    </row>
    <row r="80" spans="2:2" ht="18.75" x14ac:dyDescent="0.3">
      <c r="B80" s="255" t="s">
        <v>898</v>
      </c>
    </row>
    <row r="82" spans="2:2" ht="18.75" x14ac:dyDescent="0.3">
      <c r="B82" s="254" t="s">
        <v>899</v>
      </c>
    </row>
    <row r="83" spans="2:2" ht="18.75" x14ac:dyDescent="0.3">
      <c r="B83" s="254" t="s">
        <v>900</v>
      </c>
    </row>
    <row r="84" spans="2:2" ht="18.75" x14ac:dyDescent="0.3">
      <c r="B84" s="255" t="s">
        <v>631</v>
      </c>
    </row>
    <row r="85" spans="2:2" ht="18.75" x14ac:dyDescent="0.3">
      <c r="B85" s="255" t="s">
        <v>901</v>
      </c>
    </row>
    <row r="86" spans="2:2" ht="18.75" x14ac:dyDescent="0.3">
      <c r="B86" s="255" t="s">
        <v>902</v>
      </c>
    </row>
    <row r="87" spans="2:2" ht="18.75" x14ac:dyDescent="0.3">
      <c r="B87" s="255" t="s">
        <v>903</v>
      </c>
    </row>
    <row r="88" spans="2:2" ht="18.75" x14ac:dyDescent="0.3">
      <c r="B88" s="255" t="s">
        <v>904</v>
      </c>
    </row>
    <row r="89" spans="2:2" ht="18.75" x14ac:dyDescent="0.3">
      <c r="B89" s="255" t="s">
        <v>905</v>
      </c>
    </row>
    <row r="90" spans="2:2" ht="18.75" x14ac:dyDescent="0.3">
      <c r="B90" s="255" t="s">
        <v>906</v>
      </c>
    </row>
    <row r="91" spans="2:2" ht="18.75" x14ac:dyDescent="0.3">
      <c r="B91" s="255" t="s">
        <v>907</v>
      </c>
    </row>
    <row r="92" spans="2:2" ht="18.75" x14ac:dyDescent="0.3">
      <c r="B92" s="255" t="s">
        <v>908</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2:K545"/>
  <sheetViews>
    <sheetView topLeftCell="A28" zoomScale="80" zoomScaleNormal="80" workbookViewId="0"/>
  </sheetViews>
  <sheetFormatPr defaultColWidth="9" defaultRowHeight="15" x14ac:dyDescent="0.25"/>
  <cols>
    <col min="1" max="1" width="15.42578125" style="815" customWidth="1"/>
    <col min="2" max="2" width="26.28515625" style="237" customWidth="1"/>
    <col min="3" max="3" width="15.140625" style="237" customWidth="1"/>
    <col min="4" max="4" width="12.5703125" style="237" customWidth="1"/>
    <col min="5" max="5" width="13" style="237" customWidth="1"/>
    <col min="6" max="6" width="15.7109375" style="237" customWidth="1"/>
    <col min="7" max="7" width="9" style="237"/>
    <col min="8" max="8" width="13.42578125" style="237" customWidth="1"/>
    <col min="9" max="16384" width="9" style="237"/>
  </cols>
  <sheetData>
    <row r="2" spans="1:6" ht="33.75" x14ac:dyDescent="0.25">
      <c r="C2" s="1291" t="s">
        <v>1247</v>
      </c>
      <c r="D2" s="1291"/>
      <c r="E2" s="1291"/>
      <c r="F2" s="820"/>
    </row>
    <row r="4" spans="1:6" s="807" customFormat="1" ht="30" customHeight="1" x14ac:dyDescent="0.25">
      <c r="A4" s="830"/>
      <c r="B4" s="1310" t="s">
        <v>1248</v>
      </c>
      <c r="C4" s="1310"/>
      <c r="D4" s="1310"/>
      <c r="E4" s="1310"/>
    </row>
    <row r="6" spans="1:6" x14ac:dyDescent="0.25">
      <c r="B6" s="237" t="s">
        <v>1260</v>
      </c>
      <c r="C6" s="237">
        <v>1</v>
      </c>
      <c r="D6" s="237" t="s">
        <v>1251</v>
      </c>
    </row>
    <row r="8" spans="1:6" ht="18.75" x14ac:dyDescent="0.25">
      <c r="B8" s="812" t="s">
        <v>1254</v>
      </c>
      <c r="C8" s="812" t="s">
        <v>1253</v>
      </c>
      <c r="D8" s="812" t="s">
        <v>1252</v>
      </c>
      <c r="E8" s="812" t="s">
        <v>1257</v>
      </c>
    </row>
    <row r="9" spans="1:6" x14ac:dyDescent="0.25">
      <c r="B9" s="808" t="s">
        <v>1249</v>
      </c>
      <c r="C9" s="808">
        <v>4</v>
      </c>
      <c r="D9" s="808">
        <v>30</v>
      </c>
      <c r="E9" s="808">
        <f>D9*C9</f>
        <v>120</v>
      </c>
    </row>
    <row r="10" spans="1:6" x14ac:dyDescent="0.25">
      <c r="A10" s="1298" t="s">
        <v>1250</v>
      </c>
      <c r="B10" s="808" t="s">
        <v>1255</v>
      </c>
      <c r="C10" s="808">
        <v>1</v>
      </c>
      <c r="D10" s="808">
        <v>600</v>
      </c>
      <c r="E10" s="808">
        <f t="shared" ref="E10" si="0">D10*C10</f>
        <v>600</v>
      </c>
    </row>
    <row r="11" spans="1:6" x14ac:dyDescent="0.25">
      <c r="A11" s="1298"/>
      <c r="B11" s="808" t="s">
        <v>1256</v>
      </c>
      <c r="C11" s="808">
        <v>1</v>
      </c>
      <c r="D11" s="808">
        <v>300</v>
      </c>
      <c r="E11" s="808">
        <v>400</v>
      </c>
    </row>
    <row r="12" spans="1:6" ht="21" x14ac:dyDescent="0.25">
      <c r="B12" s="1285" t="s">
        <v>1258</v>
      </c>
      <c r="C12" s="1285"/>
      <c r="D12" s="1285"/>
      <c r="E12" s="811">
        <f>SUM(E9:E11)</f>
        <v>1120</v>
      </c>
      <c r="F12" s="237" t="s">
        <v>1259</v>
      </c>
    </row>
    <row r="14" spans="1:6" s="807" customFormat="1" ht="21" x14ac:dyDescent="0.25">
      <c r="A14" s="830"/>
    </row>
    <row r="15" spans="1:6" ht="31.5" x14ac:dyDescent="0.25">
      <c r="A15" s="830"/>
      <c r="B15" s="1310" t="s">
        <v>1261</v>
      </c>
      <c r="C15" s="1310"/>
      <c r="D15" s="1310"/>
      <c r="E15" s="1310"/>
      <c r="F15" s="807"/>
    </row>
    <row r="16" spans="1:6" x14ac:dyDescent="0.25">
      <c r="B16" s="237" t="s">
        <v>1299</v>
      </c>
    </row>
    <row r="17" spans="1:7" ht="18.75" x14ac:dyDescent="0.25">
      <c r="B17" s="818" t="s">
        <v>1286</v>
      </c>
      <c r="C17" s="818">
        <v>2500</v>
      </c>
      <c r="D17" s="818" t="s">
        <v>1263</v>
      </c>
    </row>
    <row r="19" spans="1:7" ht="12.75" customHeight="1" x14ac:dyDescent="0.25">
      <c r="B19" s="1296" t="s">
        <v>1262</v>
      </c>
      <c r="C19" s="1297"/>
      <c r="D19" s="808">
        <v>10</v>
      </c>
      <c r="E19" s="237" t="s">
        <v>1263</v>
      </c>
    </row>
    <row r="20" spans="1:7" ht="12.75" customHeight="1" x14ac:dyDescent="0.25">
      <c r="B20" s="1292" t="s">
        <v>1264</v>
      </c>
      <c r="C20" s="1293"/>
      <c r="D20" s="808">
        <v>400</v>
      </c>
      <c r="E20" s="237" t="s">
        <v>1265</v>
      </c>
    </row>
    <row r="21" spans="1:7" ht="12.75" customHeight="1" x14ac:dyDescent="0.25">
      <c r="B21" s="1294"/>
      <c r="C21" s="1295"/>
      <c r="D21" s="808">
        <f>D20/8</f>
        <v>50</v>
      </c>
      <c r="E21" s="237" t="s">
        <v>1266</v>
      </c>
    </row>
    <row r="22" spans="1:7" ht="12.75" customHeight="1" x14ac:dyDescent="0.25">
      <c r="B22" s="1296" t="s">
        <v>1267</v>
      </c>
      <c r="C22" s="1297"/>
      <c r="D22" s="808">
        <v>0.8</v>
      </c>
    </row>
    <row r="23" spans="1:7" ht="12.75" customHeight="1" x14ac:dyDescent="0.25">
      <c r="A23" s="815" t="s">
        <v>1281</v>
      </c>
      <c r="B23" s="808" t="s">
        <v>1273</v>
      </c>
      <c r="C23" s="808" t="s">
        <v>1268</v>
      </c>
      <c r="D23" s="808">
        <v>3.75</v>
      </c>
      <c r="E23" s="237" t="s">
        <v>1279</v>
      </c>
      <c r="F23" s="1289" t="s">
        <v>1287</v>
      </c>
      <c r="G23" s="816" t="s">
        <v>1289</v>
      </c>
    </row>
    <row r="24" spans="1:7" ht="12.75" customHeight="1" x14ac:dyDescent="0.25">
      <c r="A24" s="815" t="s">
        <v>1282</v>
      </c>
      <c r="B24" s="808" t="s">
        <v>1272</v>
      </c>
      <c r="C24" s="808" t="s">
        <v>1269</v>
      </c>
      <c r="D24" s="808">
        <v>2</v>
      </c>
      <c r="E24" s="237" t="s">
        <v>1279</v>
      </c>
      <c r="F24" s="1290"/>
      <c r="G24" s="811" t="s">
        <v>1288</v>
      </c>
    </row>
    <row r="25" spans="1:7" ht="12.75" customHeight="1" x14ac:dyDescent="0.25">
      <c r="A25" s="815" t="s">
        <v>1285</v>
      </c>
      <c r="B25" s="808" t="s">
        <v>1271</v>
      </c>
      <c r="C25" s="808"/>
      <c r="D25" s="808">
        <v>2</v>
      </c>
      <c r="E25" s="237" t="s">
        <v>1279</v>
      </c>
    </row>
    <row r="26" spans="1:7" ht="12.75" customHeight="1" x14ac:dyDescent="0.25">
      <c r="A26" s="815" t="s">
        <v>1283</v>
      </c>
      <c r="B26" s="808" t="s">
        <v>1270</v>
      </c>
      <c r="C26" s="808"/>
      <c r="D26" s="808">
        <v>2</v>
      </c>
      <c r="E26" s="237" t="s">
        <v>1279</v>
      </c>
    </row>
    <row r="27" spans="1:7" ht="12.75" customHeight="1" x14ac:dyDescent="0.25">
      <c r="A27" s="815" t="s">
        <v>1284</v>
      </c>
      <c r="B27" s="808" t="s">
        <v>1276</v>
      </c>
      <c r="C27" s="808" t="s">
        <v>1274</v>
      </c>
      <c r="D27" s="808">
        <v>12</v>
      </c>
      <c r="E27" s="237" t="s">
        <v>1279</v>
      </c>
    </row>
    <row r="28" spans="1:7" ht="17.25" customHeight="1" x14ac:dyDescent="0.25">
      <c r="B28" s="810" t="s">
        <v>1277</v>
      </c>
      <c r="C28" s="810"/>
      <c r="D28" s="810">
        <f>SUM(D23:D27)</f>
        <v>21.75</v>
      </c>
      <c r="E28" s="237" t="s">
        <v>1279</v>
      </c>
    </row>
    <row r="29" spans="1:7" ht="12.75" customHeight="1" x14ac:dyDescent="0.25">
      <c r="B29" s="808" t="s">
        <v>1278</v>
      </c>
      <c r="C29" s="808" t="s">
        <v>1275</v>
      </c>
      <c r="D29" s="808">
        <f>D28/D27</f>
        <v>1.8125</v>
      </c>
      <c r="E29" s="237" t="s">
        <v>1280</v>
      </c>
    </row>
    <row r="30" spans="1:7" ht="12.75" customHeight="1" x14ac:dyDescent="0.25">
      <c r="D30" s="810">
        <v>2</v>
      </c>
      <c r="E30" s="237" t="s">
        <v>1280</v>
      </c>
    </row>
    <row r="32" spans="1:7" x14ac:dyDescent="0.25">
      <c r="B32" s="815" t="s">
        <v>1294</v>
      </c>
      <c r="C32" s="815">
        <v>250</v>
      </c>
      <c r="D32" s="815" t="s">
        <v>1265</v>
      </c>
      <c r="E32" s="815"/>
    </row>
    <row r="33" spans="2:6" x14ac:dyDescent="0.25">
      <c r="B33" s="815" t="s">
        <v>1352</v>
      </c>
      <c r="C33" s="815">
        <v>1</v>
      </c>
      <c r="D33" s="815" t="s">
        <v>1353</v>
      </c>
      <c r="E33" s="815"/>
    </row>
    <row r="35" spans="2:6" ht="18.75" x14ac:dyDescent="0.25">
      <c r="B35" s="812" t="s">
        <v>1254</v>
      </c>
      <c r="C35" s="812" t="s">
        <v>1253</v>
      </c>
      <c r="D35" s="812" t="s">
        <v>1252</v>
      </c>
      <c r="E35" s="812" t="s">
        <v>1257</v>
      </c>
    </row>
    <row r="36" spans="2:6" x14ac:dyDescent="0.25">
      <c r="B36" s="808" t="s">
        <v>1290</v>
      </c>
      <c r="C36" s="808">
        <v>1</v>
      </c>
      <c r="D36" s="808">
        <v>800</v>
      </c>
      <c r="E36" s="808">
        <f>D36*C36</f>
        <v>800</v>
      </c>
    </row>
    <row r="37" spans="2:6" x14ac:dyDescent="0.25">
      <c r="B37" s="808" t="s">
        <v>1291</v>
      </c>
      <c r="C37" s="808">
        <v>1</v>
      </c>
      <c r="D37" s="808">
        <v>600</v>
      </c>
      <c r="E37" s="808">
        <f t="shared" ref="E37:E39" si="1">D37*C37</f>
        <v>600</v>
      </c>
    </row>
    <row r="38" spans="2:6" x14ac:dyDescent="0.25">
      <c r="B38" s="808" t="s">
        <v>1292</v>
      </c>
      <c r="C38" s="808">
        <v>2</v>
      </c>
      <c r="D38" s="808">
        <v>300</v>
      </c>
      <c r="E38" s="808">
        <f t="shared" si="1"/>
        <v>600</v>
      </c>
    </row>
    <row r="39" spans="2:6" x14ac:dyDescent="0.25">
      <c r="B39" s="808" t="s">
        <v>1293</v>
      </c>
      <c r="C39" s="808">
        <v>2</v>
      </c>
      <c r="D39" s="808">
        <v>35</v>
      </c>
      <c r="E39" s="808">
        <f t="shared" si="1"/>
        <v>70</v>
      </c>
    </row>
    <row r="40" spans="2:6" ht="21" x14ac:dyDescent="0.25">
      <c r="B40" s="1285" t="s">
        <v>1296</v>
      </c>
      <c r="C40" s="1285"/>
      <c r="D40" s="1285"/>
      <c r="E40" s="811">
        <f>SUM(E36:E39)</f>
        <v>2070</v>
      </c>
      <c r="F40" s="237" t="s">
        <v>1259</v>
      </c>
    </row>
    <row r="41" spans="2:6" ht="21" x14ac:dyDescent="0.25">
      <c r="B41" s="1285" t="s">
        <v>1320</v>
      </c>
      <c r="C41" s="1285"/>
      <c r="D41" s="1285"/>
      <c r="E41" s="811">
        <f>C17/(C32*C33)</f>
        <v>10</v>
      </c>
      <c r="F41" s="237" t="s">
        <v>1251</v>
      </c>
    </row>
    <row r="42" spans="2:6" ht="21" x14ac:dyDescent="0.25">
      <c r="B42" s="1285" t="s">
        <v>1297</v>
      </c>
      <c r="C42" s="1285"/>
      <c r="D42" s="1285"/>
      <c r="E42" s="811">
        <f>E40*E41</f>
        <v>20700</v>
      </c>
      <c r="F42" s="237" t="s">
        <v>1259</v>
      </c>
    </row>
    <row r="43" spans="2:6" ht="21" x14ac:dyDescent="0.25">
      <c r="B43" s="1285" t="s">
        <v>1298</v>
      </c>
      <c r="C43" s="1285"/>
      <c r="D43" s="1285"/>
      <c r="E43" s="811">
        <f>E42/C17</f>
        <v>8.2799999999999994</v>
      </c>
      <c r="F43" s="237" t="s">
        <v>1259</v>
      </c>
    </row>
    <row r="45" spans="2:6" ht="31.5" x14ac:dyDescent="0.25">
      <c r="B45" s="1310" t="s">
        <v>1300</v>
      </c>
      <c r="C45" s="1310"/>
      <c r="D45" s="1310"/>
      <c r="E45" s="1310"/>
    </row>
    <row r="47" spans="2:6" ht="18.75" x14ac:dyDescent="0.25">
      <c r="B47" s="818" t="s">
        <v>1286</v>
      </c>
      <c r="C47" s="818">
        <v>2100</v>
      </c>
      <c r="D47" s="818" t="s">
        <v>1263</v>
      </c>
    </row>
    <row r="49" spans="2:6" x14ac:dyDescent="0.25">
      <c r="B49" s="815" t="s">
        <v>1294</v>
      </c>
      <c r="C49" s="815">
        <v>400</v>
      </c>
      <c r="D49" s="815" t="s">
        <v>1265</v>
      </c>
      <c r="E49" s="815"/>
    </row>
    <row r="50" spans="2:6" x14ac:dyDescent="0.25">
      <c r="B50" s="815" t="s">
        <v>1352</v>
      </c>
      <c r="C50" s="815">
        <v>1</v>
      </c>
      <c r="D50" s="815" t="s">
        <v>1353</v>
      </c>
      <c r="E50" s="815"/>
    </row>
    <row r="51" spans="2:6" ht="18.75" x14ac:dyDescent="0.25">
      <c r="B51" s="812" t="s">
        <v>1254</v>
      </c>
      <c r="C51" s="812" t="s">
        <v>1253</v>
      </c>
      <c r="D51" s="812" t="s">
        <v>1252</v>
      </c>
      <c r="E51" s="812" t="s">
        <v>1257</v>
      </c>
    </row>
    <row r="52" spans="2:6" x14ac:dyDescent="0.25">
      <c r="B52" s="808" t="s">
        <v>1301</v>
      </c>
      <c r="C52" s="808">
        <v>1</v>
      </c>
      <c r="D52" s="808">
        <v>550</v>
      </c>
      <c r="E52" s="808">
        <f>D52*C52</f>
        <v>550</v>
      </c>
    </row>
    <row r="53" spans="2:6" x14ac:dyDescent="0.25">
      <c r="B53" s="808" t="s">
        <v>1302</v>
      </c>
      <c r="C53" s="808">
        <v>1</v>
      </c>
      <c r="D53" s="808">
        <v>600</v>
      </c>
      <c r="E53" s="808">
        <f t="shared" ref="E53:E56" si="2">D53*C53</f>
        <v>600</v>
      </c>
    </row>
    <row r="54" spans="2:6" x14ac:dyDescent="0.25">
      <c r="B54" s="808" t="s">
        <v>1280</v>
      </c>
      <c r="C54" s="808">
        <v>2</v>
      </c>
      <c r="D54" s="808">
        <v>300</v>
      </c>
      <c r="E54" s="808">
        <f t="shared" si="2"/>
        <v>600</v>
      </c>
    </row>
    <row r="55" spans="2:6" x14ac:dyDescent="0.25">
      <c r="B55" s="808" t="s">
        <v>1304</v>
      </c>
      <c r="C55" s="808">
        <v>1</v>
      </c>
      <c r="D55" s="808">
        <v>170</v>
      </c>
      <c r="E55" s="808">
        <f t="shared" si="2"/>
        <v>170</v>
      </c>
    </row>
    <row r="56" spans="2:6" x14ac:dyDescent="0.25">
      <c r="B56" s="808" t="s">
        <v>1303</v>
      </c>
      <c r="C56" s="808">
        <v>2</v>
      </c>
      <c r="D56" s="808">
        <v>35</v>
      </c>
      <c r="E56" s="808">
        <f t="shared" si="2"/>
        <v>70</v>
      </c>
    </row>
    <row r="57" spans="2:6" ht="21" x14ac:dyDescent="0.25">
      <c r="B57" s="1285" t="s">
        <v>1296</v>
      </c>
      <c r="C57" s="1285"/>
      <c r="D57" s="1285"/>
      <c r="E57" s="811">
        <f>SUM(E52:E56)</f>
        <v>1990</v>
      </c>
      <c r="F57" s="237" t="s">
        <v>1259</v>
      </c>
    </row>
    <row r="58" spans="2:6" ht="21" x14ac:dyDescent="0.25">
      <c r="B58" s="1285" t="s">
        <v>1295</v>
      </c>
      <c r="C58" s="1285"/>
      <c r="D58" s="1285"/>
      <c r="E58" s="811">
        <f>C47/(C49*C50)</f>
        <v>5.25</v>
      </c>
      <c r="F58" s="237" t="s">
        <v>1251</v>
      </c>
    </row>
    <row r="59" spans="2:6" ht="21" x14ac:dyDescent="0.25">
      <c r="B59" s="1285" t="s">
        <v>1320</v>
      </c>
      <c r="C59" s="1285"/>
      <c r="D59" s="1285"/>
      <c r="E59" s="811">
        <v>6</v>
      </c>
    </row>
    <row r="60" spans="2:6" ht="21" x14ac:dyDescent="0.25">
      <c r="B60" s="1285" t="s">
        <v>1305</v>
      </c>
      <c r="C60" s="1285"/>
      <c r="D60" s="1285"/>
      <c r="E60" s="811">
        <f>E59*E57</f>
        <v>11940</v>
      </c>
      <c r="F60" s="237" t="s">
        <v>1259</v>
      </c>
    </row>
    <row r="62" spans="2:6" ht="18.75" x14ac:dyDescent="0.25">
      <c r="B62" s="812" t="s">
        <v>1254</v>
      </c>
      <c r="C62" s="812" t="s">
        <v>1306</v>
      </c>
      <c r="D62" s="812" t="s">
        <v>1307</v>
      </c>
      <c r="E62" s="812"/>
    </row>
    <row r="63" spans="2:6" ht="16.5" customHeight="1" x14ac:dyDescent="0.25">
      <c r="B63" s="808" t="s">
        <v>21</v>
      </c>
      <c r="C63" s="808">
        <f>C47</f>
        <v>2100</v>
      </c>
      <c r="D63" s="808">
        <v>17.25</v>
      </c>
      <c r="E63" s="808">
        <f>D63*C63</f>
        <v>36225</v>
      </c>
      <c r="F63" s="237" t="s">
        <v>1259</v>
      </c>
    </row>
    <row r="64" spans="2:6" ht="21" x14ac:dyDescent="0.25">
      <c r="B64" s="1285" t="s">
        <v>1308</v>
      </c>
      <c r="C64" s="1285"/>
      <c r="D64" s="1285"/>
      <c r="E64" s="811">
        <f>E63+E60</f>
        <v>48165</v>
      </c>
      <c r="F64" s="237" t="s">
        <v>1259</v>
      </c>
    </row>
    <row r="65" spans="2:7" ht="21" x14ac:dyDescent="0.25">
      <c r="B65" s="1285" t="s">
        <v>1298</v>
      </c>
      <c r="C65" s="1285"/>
      <c r="D65" s="1285"/>
      <c r="E65" s="811">
        <f>E64/C47</f>
        <v>22.935714285714287</v>
      </c>
      <c r="F65" s="237" t="s">
        <v>1259</v>
      </c>
    </row>
    <row r="67" spans="2:7" ht="31.5" x14ac:dyDescent="0.25">
      <c r="B67" s="1310" t="s">
        <v>1309</v>
      </c>
      <c r="C67" s="1310"/>
      <c r="D67" s="1310"/>
      <c r="E67" s="1310"/>
    </row>
    <row r="69" spans="2:7" ht="18.75" x14ac:dyDescent="0.25">
      <c r="B69" s="818" t="s">
        <v>1286</v>
      </c>
      <c r="C69" s="818">
        <v>830</v>
      </c>
      <c r="D69" s="818" t="s">
        <v>1313</v>
      </c>
    </row>
    <row r="70" spans="2:7" x14ac:dyDescent="0.25">
      <c r="B70" s="237" t="s">
        <v>1315</v>
      </c>
    </row>
    <row r="71" spans="2:7" ht="21" customHeight="1" x14ac:dyDescent="0.25">
      <c r="B71" s="815" t="s">
        <v>1311</v>
      </c>
      <c r="C71" s="815">
        <v>75</v>
      </c>
      <c r="D71" s="815" t="s">
        <v>1265</v>
      </c>
      <c r="E71" s="815"/>
    </row>
    <row r="72" spans="2:7" ht="21" customHeight="1" x14ac:dyDescent="0.25">
      <c r="B72" s="815" t="s">
        <v>1312</v>
      </c>
      <c r="C72" s="815">
        <f>C71*3</f>
        <v>225</v>
      </c>
      <c r="D72" s="815" t="s">
        <v>1265</v>
      </c>
      <c r="E72" s="815"/>
    </row>
    <row r="73" spans="2:7" ht="20.25" customHeight="1" x14ac:dyDescent="0.25">
      <c r="B73" s="815" t="s">
        <v>1352</v>
      </c>
      <c r="C73" s="815">
        <v>1</v>
      </c>
      <c r="D73" s="815" t="s">
        <v>1353</v>
      </c>
      <c r="E73" s="815"/>
    </row>
    <row r="74" spans="2:7" ht="18.75" x14ac:dyDescent="0.25">
      <c r="B74" s="812" t="s">
        <v>1254</v>
      </c>
      <c r="C74" s="812" t="s">
        <v>1253</v>
      </c>
      <c r="D74" s="812" t="s">
        <v>1252</v>
      </c>
      <c r="E74" s="812" t="s">
        <v>1257</v>
      </c>
    </row>
    <row r="75" spans="2:7" ht="22.5" customHeight="1" x14ac:dyDescent="0.25">
      <c r="B75" s="808" t="s">
        <v>1310</v>
      </c>
      <c r="C75" s="808">
        <v>3</v>
      </c>
      <c r="D75" s="808">
        <v>50</v>
      </c>
      <c r="E75" s="808">
        <f>D75*C75</f>
        <v>150</v>
      </c>
    </row>
    <row r="76" spans="2:7" ht="21" x14ac:dyDescent="0.25">
      <c r="B76" s="1285" t="s">
        <v>1296</v>
      </c>
      <c r="C76" s="1285"/>
      <c r="D76" s="1285"/>
      <c r="E76" s="811">
        <f>SUM(E75:E75)</f>
        <v>150</v>
      </c>
    </row>
    <row r="77" spans="2:7" ht="21" x14ac:dyDescent="0.25">
      <c r="B77" s="1285" t="s">
        <v>1295</v>
      </c>
      <c r="C77" s="1285"/>
      <c r="D77" s="1285"/>
      <c r="E77" s="811">
        <f>C69/(C72*C73)</f>
        <v>3.6888888888888891</v>
      </c>
      <c r="G77" s="237">
        <f>E76*4</f>
        <v>600</v>
      </c>
    </row>
    <row r="78" spans="2:7" ht="21" x14ac:dyDescent="0.25">
      <c r="B78" s="1285" t="s">
        <v>1320</v>
      </c>
      <c r="C78" s="1285"/>
      <c r="D78" s="1285"/>
      <c r="E78" s="811">
        <v>4</v>
      </c>
    </row>
    <row r="79" spans="2:7" ht="21" x14ac:dyDescent="0.25">
      <c r="B79" s="1285" t="s">
        <v>1314</v>
      </c>
      <c r="C79" s="1285"/>
      <c r="D79" s="1285"/>
      <c r="E79" s="811">
        <f>E78*E76*3</f>
        <v>1800</v>
      </c>
    </row>
    <row r="81" spans="1:6" x14ac:dyDescent="0.25">
      <c r="A81" s="815" t="s">
        <v>1316</v>
      </c>
      <c r="B81" s="808">
        <v>1</v>
      </c>
      <c r="C81" s="808">
        <v>20</v>
      </c>
      <c r="D81" s="237" t="s">
        <v>1313</v>
      </c>
      <c r="E81" s="237" t="s">
        <v>1318</v>
      </c>
    </row>
    <row r="82" spans="1:6" x14ac:dyDescent="0.25">
      <c r="A82" s="815" t="s">
        <v>1316</v>
      </c>
      <c r="B82" s="819">
        <f>C82*B81/C81</f>
        <v>41.5</v>
      </c>
      <c r="C82" s="808">
        <v>830</v>
      </c>
    </row>
    <row r="84" spans="1:6" ht="18.75" x14ac:dyDescent="0.25">
      <c r="B84" s="812" t="s">
        <v>1254</v>
      </c>
      <c r="C84" s="812" t="s">
        <v>1306</v>
      </c>
      <c r="D84" s="812" t="s">
        <v>1307</v>
      </c>
      <c r="E84" s="812"/>
    </row>
    <row r="85" spans="1:6" x14ac:dyDescent="0.25">
      <c r="B85" s="808" t="s">
        <v>1317</v>
      </c>
      <c r="C85" s="808">
        <v>42</v>
      </c>
      <c r="D85" s="808">
        <v>379.5</v>
      </c>
      <c r="E85" s="808">
        <f>D85*C85</f>
        <v>15939</v>
      </c>
      <c r="F85" s="237" t="s">
        <v>1259</v>
      </c>
    </row>
    <row r="86" spans="1:6" ht="21" x14ac:dyDescent="0.25">
      <c r="B86" s="1285" t="s">
        <v>1308</v>
      </c>
      <c r="C86" s="1285"/>
      <c r="D86" s="1285"/>
      <c r="E86" s="811">
        <f>E85+E79</f>
        <v>17739</v>
      </c>
      <c r="F86" s="237" t="s">
        <v>1259</v>
      </c>
    </row>
    <row r="87" spans="1:6" ht="21" x14ac:dyDescent="0.25">
      <c r="B87" s="1285" t="s">
        <v>1298</v>
      </c>
      <c r="C87" s="1285"/>
      <c r="D87" s="1285"/>
      <c r="E87" s="811">
        <f>E86/C69</f>
        <v>21.372289156626508</v>
      </c>
      <c r="F87" s="237" t="s">
        <v>1259</v>
      </c>
    </row>
    <row r="89" spans="1:6" ht="31.5" x14ac:dyDescent="0.25">
      <c r="B89" s="1310" t="s">
        <v>1319</v>
      </c>
      <c r="C89" s="1310"/>
      <c r="D89" s="1310"/>
      <c r="E89" s="1310"/>
    </row>
    <row r="91" spans="1:6" ht="18.75" x14ac:dyDescent="0.25">
      <c r="B91" s="818" t="s">
        <v>1286</v>
      </c>
      <c r="C91" s="818">
        <v>90</v>
      </c>
      <c r="D91" s="818" t="s">
        <v>1263</v>
      </c>
    </row>
    <row r="93" spans="1:6" ht="23.25" customHeight="1" x14ac:dyDescent="0.25">
      <c r="A93" s="1300" t="s">
        <v>1351</v>
      </c>
      <c r="B93" s="814" t="s">
        <v>1321</v>
      </c>
      <c r="C93" s="808">
        <v>2500</v>
      </c>
      <c r="D93" s="808" t="s">
        <v>1322</v>
      </c>
    </row>
    <row r="94" spans="1:6" x14ac:dyDescent="0.25">
      <c r="A94" s="1300"/>
      <c r="B94" s="814" t="s">
        <v>1323</v>
      </c>
      <c r="C94" s="808">
        <v>5</v>
      </c>
      <c r="D94" s="808" t="s">
        <v>1324</v>
      </c>
    </row>
    <row r="95" spans="1:6" x14ac:dyDescent="0.25">
      <c r="A95" s="1300"/>
      <c r="B95" s="814" t="s">
        <v>1325</v>
      </c>
      <c r="C95" s="808">
        <f>C93/C94</f>
        <v>500</v>
      </c>
      <c r="D95" s="808" t="s">
        <v>1322</v>
      </c>
    </row>
    <row r="96" spans="1:6" x14ac:dyDescent="0.25">
      <c r="A96" s="1300"/>
      <c r="B96" s="814" t="s">
        <v>1326</v>
      </c>
      <c r="C96" s="808">
        <f>1*1*0.02</f>
        <v>0.02</v>
      </c>
      <c r="D96" s="808" t="s">
        <v>1263</v>
      </c>
    </row>
    <row r="97" spans="1:11" x14ac:dyDescent="0.25">
      <c r="A97" s="1300"/>
      <c r="B97" s="814" t="s">
        <v>1327</v>
      </c>
      <c r="C97" s="808">
        <v>0.112</v>
      </c>
      <c r="D97" s="808" t="s">
        <v>1328</v>
      </c>
    </row>
    <row r="98" spans="1:11" x14ac:dyDescent="0.25">
      <c r="A98" s="1300"/>
    </row>
    <row r="99" spans="1:11" ht="16.5" customHeight="1" x14ac:dyDescent="0.25">
      <c r="A99" s="1300"/>
      <c r="B99" s="814" t="s">
        <v>1329</v>
      </c>
      <c r="C99" s="808">
        <f>C97*C95</f>
        <v>56</v>
      </c>
      <c r="D99" s="808" t="s">
        <v>1322</v>
      </c>
    </row>
    <row r="100" spans="1:11" ht="24" customHeight="1" x14ac:dyDescent="0.25">
      <c r="A100" s="1300"/>
      <c r="B100" s="838" t="s">
        <v>1386</v>
      </c>
      <c r="C100" s="808">
        <f>C99*1.04</f>
        <v>58.24</v>
      </c>
      <c r="D100" s="808" t="s">
        <v>1322</v>
      </c>
    </row>
    <row r="101" spans="1:11" ht="20.25" customHeight="1" x14ac:dyDescent="0.25">
      <c r="A101" s="1300"/>
      <c r="B101" s="839" t="s">
        <v>1387</v>
      </c>
      <c r="C101" s="836">
        <f>C100*1.05</f>
        <v>61.152000000000008</v>
      </c>
      <c r="D101" s="836" t="s">
        <v>1322</v>
      </c>
    </row>
    <row r="103" spans="1:11" ht="21" customHeight="1" x14ac:dyDescent="0.25">
      <c r="B103" s="815" t="s">
        <v>1294</v>
      </c>
      <c r="C103" s="815">
        <v>5</v>
      </c>
      <c r="D103" s="815" t="s">
        <v>1265</v>
      </c>
      <c r="E103" s="815"/>
    </row>
    <row r="104" spans="1:11" ht="21" customHeight="1" x14ac:dyDescent="0.25">
      <c r="B104" s="815" t="s">
        <v>1334</v>
      </c>
      <c r="C104" s="815">
        <v>3</v>
      </c>
      <c r="D104" s="815" t="s">
        <v>1335</v>
      </c>
      <c r="E104" s="815"/>
    </row>
    <row r="105" spans="1:11" ht="25.5" customHeight="1" x14ac:dyDescent="0.25">
      <c r="A105" s="1303" t="s">
        <v>1330</v>
      </c>
      <c r="B105" s="812" t="s">
        <v>1254</v>
      </c>
      <c r="C105" s="812" t="s">
        <v>1253</v>
      </c>
      <c r="D105" s="812" t="s">
        <v>1252</v>
      </c>
      <c r="E105" s="812" t="s">
        <v>1257</v>
      </c>
    </row>
    <row r="106" spans="1:11" ht="19.5" customHeight="1" x14ac:dyDescent="0.25">
      <c r="A106" s="1304"/>
      <c r="B106" s="808" t="s">
        <v>1331</v>
      </c>
      <c r="C106" s="808">
        <v>3</v>
      </c>
      <c r="D106" s="808">
        <v>110</v>
      </c>
      <c r="E106" s="808">
        <f>D106*C106</f>
        <v>330</v>
      </c>
    </row>
    <row r="107" spans="1:11" ht="19.5" customHeight="1" x14ac:dyDescent="0.25">
      <c r="A107" s="1304"/>
      <c r="B107" s="808" t="s">
        <v>1332</v>
      </c>
      <c r="C107" s="808">
        <v>2</v>
      </c>
      <c r="D107" s="808">
        <v>60</v>
      </c>
      <c r="E107" s="808">
        <f t="shared" ref="E107:E108" si="3">D107*C107</f>
        <v>120</v>
      </c>
    </row>
    <row r="108" spans="1:11" ht="19.5" customHeight="1" x14ac:dyDescent="0.25">
      <c r="A108" s="1304"/>
      <c r="B108" s="808" t="s">
        <v>1333</v>
      </c>
      <c r="C108" s="808">
        <v>2</v>
      </c>
      <c r="D108" s="808">
        <v>35</v>
      </c>
      <c r="E108" s="808">
        <f t="shared" si="3"/>
        <v>70</v>
      </c>
    </row>
    <row r="109" spans="1:11" ht="20.25" customHeight="1" x14ac:dyDescent="0.25">
      <c r="A109" s="1304"/>
      <c r="B109" s="1285" t="s">
        <v>1296</v>
      </c>
      <c r="C109" s="1285"/>
      <c r="D109" s="1285"/>
      <c r="E109" s="811">
        <f>SUM(E106:E108)</f>
        <v>520</v>
      </c>
      <c r="I109" s="815"/>
      <c r="J109" s="815"/>
      <c r="K109" s="815"/>
    </row>
    <row r="110" spans="1:11" ht="20.25" customHeight="1" x14ac:dyDescent="0.25">
      <c r="A110" s="1304"/>
      <c r="B110" s="1285" t="s">
        <v>1295</v>
      </c>
      <c r="C110" s="1285"/>
      <c r="D110" s="1285"/>
      <c r="E110" s="811">
        <f>C91/(C103*C104)</f>
        <v>6</v>
      </c>
      <c r="H110" s="1287" t="s">
        <v>1340</v>
      </c>
      <c r="I110" s="1287"/>
    </row>
    <row r="111" spans="1:11" ht="20.25" customHeight="1" x14ac:dyDescent="0.25">
      <c r="A111" s="1304"/>
      <c r="B111" s="1285" t="s">
        <v>1320</v>
      </c>
      <c r="C111" s="1285"/>
      <c r="D111" s="1285"/>
      <c r="E111" s="811">
        <v>6</v>
      </c>
      <c r="H111" s="1287"/>
      <c r="I111" s="1287"/>
    </row>
    <row r="112" spans="1:11" ht="20.25" customHeight="1" x14ac:dyDescent="0.25">
      <c r="A112" s="1304"/>
      <c r="B112" s="1285" t="s">
        <v>1305</v>
      </c>
      <c r="C112" s="1285"/>
      <c r="D112" s="1285"/>
      <c r="E112" s="811">
        <f>E111*E109*C104</f>
        <v>9360</v>
      </c>
      <c r="H112" s="808" t="s">
        <v>1339</v>
      </c>
      <c r="I112" s="808">
        <v>30</v>
      </c>
    </row>
    <row r="113" spans="1:9" ht="27" customHeight="1" x14ac:dyDescent="0.25">
      <c r="A113" s="1304"/>
      <c r="B113" s="1288" t="s">
        <v>1338</v>
      </c>
      <c r="C113" s="1288"/>
      <c r="D113" s="1288"/>
      <c r="E113" s="836">
        <f>(E112/C91)</f>
        <v>104</v>
      </c>
      <c r="F113" s="237" t="s">
        <v>1336</v>
      </c>
      <c r="H113" s="808" t="s">
        <v>1341</v>
      </c>
      <c r="I113" s="808">
        <f>6*I112</f>
        <v>180</v>
      </c>
    </row>
    <row r="114" spans="1:9" ht="27" customHeight="1" x14ac:dyDescent="0.25">
      <c r="A114" s="237"/>
      <c r="H114" s="809"/>
      <c r="I114" s="809"/>
    </row>
    <row r="115" spans="1:9" ht="27" customHeight="1" x14ac:dyDescent="0.25">
      <c r="A115" s="237"/>
      <c r="B115" s="1288" t="s">
        <v>1337</v>
      </c>
      <c r="C115" s="1288"/>
      <c r="D115" s="1288"/>
      <c r="E115" s="836">
        <f>450+I115</f>
        <v>453.6</v>
      </c>
      <c r="F115" s="237" t="s">
        <v>1336</v>
      </c>
      <c r="H115" s="808" t="s">
        <v>1342</v>
      </c>
      <c r="I115" s="808">
        <f>I113/50</f>
        <v>3.6</v>
      </c>
    </row>
    <row r="116" spans="1:9" x14ac:dyDescent="0.25">
      <c r="A116" s="237"/>
    </row>
    <row r="117" spans="1:9" ht="24.75" customHeight="1" x14ac:dyDescent="0.25">
      <c r="B117" s="815" t="s">
        <v>1294</v>
      </c>
      <c r="C117" s="815">
        <v>320</v>
      </c>
      <c r="D117" s="815" t="s">
        <v>1265</v>
      </c>
      <c r="E117" s="815"/>
    </row>
    <row r="118" spans="1:9" ht="21" customHeight="1" x14ac:dyDescent="0.25">
      <c r="A118" s="1302" t="s">
        <v>1389</v>
      </c>
      <c r="B118" s="812" t="s">
        <v>1254</v>
      </c>
      <c r="C118" s="812" t="s">
        <v>1253</v>
      </c>
      <c r="D118" s="812" t="s">
        <v>1252</v>
      </c>
      <c r="E118" s="812" t="s">
        <v>1257</v>
      </c>
    </row>
    <row r="119" spans="1:9" ht="18.75" customHeight="1" x14ac:dyDescent="0.25">
      <c r="A119" s="1302"/>
      <c r="B119" s="808" t="s">
        <v>1343</v>
      </c>
      <c r="C119" s="808">
        <v>1</v>
      </c>
      <c r="D119" s="808">
        <v>60</v>
      </c>
      <c r="E119" s="808">
        <f>D119*C119</f>
        <v>60</v>
      </c>
    </row>
    <row r="120" spans="1:9" ht="18.75" customHeight="1" x14ac:dyDescent="0.25">
      <c r="A120" s="1302"/>
      <c r="B120" s="808" t="s">
        <v>1344</v>
      </c>
      <c r="C120" s="808">
        <v>1</v>
      </c>
      <c r="D120" s="808">
        <v>60</v>
      </c>
      <c r="E120" s="808">
        <f t="shared" ref="E120:E122" si="4">D120*C120</f>
        <v>60</v>
      </c>
    </row>
    <row r="121" spans="1:9" ht="18.75" customHeight="1" x14ac:dyDescent="0.25">
      <c r="A121" s="1302"/>
      <c r="B121" s="808" t="s">
        <v>1345</v>
      </c>
      <c r="C121" s="808">
        <v>1</v>
      </c>
      <c r="D121" s="808">
        <v>110</v>
      </c>
      <c r="E121" s="808">
        <f t="shared" si="4"/>
        <v>110</v>
      </c>
    </row>
    <row r="122" spans="1:9" ht="18.75" customHeight="1" x14ac:dyDescent="0.25">
      <c r="A122" s="1302"/>
      <c r="B122" s="808" t="s">
        <v>1332</v>
      </c>
      <c r="C122" s="808">
        <v>1</v>
      </c>
      <c r="D122" s="808">
        <v>60</v>
      </c>
      <c r="E122" s="808">
        <f t="shared" si="4"/>
        <v>60</v>
      </c>
    </row>
    <row r="123" spans="1:9" ht="21" x14ac:dyDescent="0.25">
      <c r="A123" s="1302"/>
      <c r="B123" s="1285" t="s">
        <v>1296</v>
      </c>
      <c r="C123" s="1285"/>
      <c r="D123" s="1285"/>
      <c r="E123" s="811">
        <f>SUM(E119:E122)</f>
        <v>290</v>
      </c>
    </row>
    <row r="124" spans="1:9" ht="21" x14ac:dyDescent="0.25">
      <c r="A124" s="1302"/>
      <c r="B124" s="1285" t="s">
        <v>1295</v>
      </c>
      <c r="C124" s="1285"/>
      <c r="D124" s="1285"/>
      <c r="E124" s="811">
        <f>C91/C117</f>
        <v>0.28125</v>
      </c>
    </row>
    <row r="125" spans="1:9" ht="23.25" customHeight="1" x14ac:dyDescent="0.25">
      <c r="A125" s="1302"/>
      <c r="B125" s="1285" t="s">
        <v>1320</v>
      </c>
      <c r="C125" s="1285"/>
      <c r="D125" s="1285"/>
      <c r="E125" s="811">
        <v>1</v>
      </c>
    </row>
    <row r="126" spans="1:9" ht="23.25" customHeight="1" x14ac:dyDescent="0.25">
      <c r="A126" s="1302"/>
      <c r="B126" s="1285" t="s">
        <v>1346</v>
      </c>
      <c r="C126" s="1285"/>
      <c r="D126" s="1285"/>
      <c r="E126" s="811">
        <f>E125*E123</f>
        <v>290</v>
      </c>
    </row>
    <row r="127" spans="1:9" ht="23.25" customHeight="1" x14ac:dyDescent="0.25">
      <c r="A127" s="1302"/>
      <c r="B127" s="1285" t="s">
        <v>1338</v>
      </c>
      <c r="C127" s="1285"/>
      <c r="D127" s="1285"/>
      <c r="E127" s="811">
        <f>E126/C91</f>
        <v>3.2222222222222223</v>
      </c>
    </row>
    <row r="128" spans="1:9" ht="21" x14ac:dyDescent="0.25">
      <c r="B128" s="822"/>
      <c r="C128" s="822"/>
      <c r="D128" s="822"/>
      <c r="E128" s="817"/>
      <c r="F128" s="821"/>
    </row>
    <row r="129" spans="1:5" x14ac:dyDescent="0.25">
      <c r="B129" s="815"/>
      <c r="C129" s="815"/>
      <c r="D129" s="815"/>
      <c r="E129" s="815"/>
    </row>
    <row r="130" spans="1:5" ht="18.75" x14ac:dyDescent="0.25">
      <c r="A130" s="1301" t="s">
        <v>1388</v>
      </c>
      <c r="B130" s="812" t="s">
        <v>1254</v>
      </c>
      <c r="C130" s="812" t="s">
        <v>1253</v>
      </c>
      <c r="D130" s="812" t="s">
        <v>1252</v>
      </c>
      <c r="E130" s="812" t="s">
        <v>1257</v>
      </c>
    </row>
    <row r="131" spans="1:5" x14ac:dyDescent="0.25">
      <c r="A131" s="1301"/>
      <c r="B131" s="808" t="s">
        <v>1347</v>
      </c>
      <c r="C131" s="808">
        <v>1</v>
      </c>
      <c r="D131" s="808">
        <v>150</v>
      </c>
      <c r="E131" s="808">
        <f>D131*C131</f>
        <v>150</v>
      </c>
    </row>
    <row r="132" spans="1:5" ht="21" x14ac:dyDescent="0.25">
      <c r="A132" s="1301"/>
      <c r="B132" s="1285" t="s">
        <v>1296</v>
      </c>
      <c r="C132" s="1285"/>
      <c r="D132" s="1285"/>
      <c r="E132" s="811">
        <f>SUM(E131:E131)</f>
        <v>150</v>
      </c>
    </row>
    <row r="133" spans="1:5" ht="21" x14ac:dyDescent="0.25">
      <c r="A133" s="1301"/>
      <c r="B133" s="1285" t="s">
        <v>1338</v>
      </c>
      <c r="C133" s="1285"/>
      <c r="D133" s="1285"/>
      <c r="E133" s="811">
        <f>E132/C91</f>
        <v>1.6666666666666667</v>
      </c>
    </row>
    <row r="134" spans="1:5" ht="15.75" thickBot="1" x14ac:dyDescent="0.3"/>
    <row r="135" spans="1:5" ht="27" customHeight="1" thickBot="1" x14ac:dyDescent="0.3">
      <c r="B135" s="989" t="s">
        <v>1258</v>
      </c>
      <c r="C135" s="990"/>
      <c r="D135" s="991"/>
      <c r="E135" s="811">
        <f>E133+E127+E115+E113+C101</f>
        <v>623.64088888888898</v>
      </c>
    </row>
    <row r="137" spans="1:5" ht="22.5" customHeight="1" x14ac:dyDescent="0.25">
      <c r="B137" s="1286" t="s">
        <v>1348</v>
      </c>
      <c r="C137" s="1286"/>
      <c r="D137" s="1286"/>
      <c r="E137" s="1286"/>
    </row>
    <row r="138" spans="1:5" x14ac:dyDescent="0.25">
      <c r="B138" s="815" t="s">
        <v>1294</v>
      </c>
      <c r="C138" s="815">
        <v>12</v>
      </c>
      <c r="D138" s="815" t="s">
        <v>1265</v>
      </c>
    </row>
    <row r="139" spans="1:5" x14ac:dyDescent="0.25">
      <c r="B139" s="815" t="s">
        <v>1349</v>
      </c>
      <c r="C139" s="815">
        <v>3</v>
      </c>
      <c r="D139" s="815" t="s">
        <v>1350</v>
      </c>
    </row>
    <row r="140" spans="1:5" ht="18.75" x14ac:dyDescent="0.25">
      <c r="B140" s="812" t="s">
        <v>1254</v>
      </c>
      <c r="C140" s="812" t="s">
        <v>1253</v>
      </c>
      <c r="D140" s="812" t="s">
        <v>1252</v>
      </c>
      <c r="E140" s="812" t="s">
        <v>1257</v>
      </c>
    </row>
    <row r="141" spans="1:5" x14ac:dyDescent="0.25">
      <c r="B141" s="808" t="s">
        <v>1249</v>
      </c>
      <c r="C141" s="808">
        <v>3</v>
      </c>
      <c r="D141" s="808">
        <v>35</v>
      </c>
      <c r="E141" s="808">
        <f>D141*C141</f>
        <v>105</v>
      </c>
    </row>
    <row r="142" spans="1:5" ht="21" x14ac:dyDescent="0.25">
      <c r="B142" s="1285" t="s">
        <v>1296</v>
      </c>
      <c r="C142" s="1285"/>
      <c r="D142" s="1285"/>
      <c r="E142" s="811">
        <f>C91/(C139*C138)</f>
        <v>2.5</v>
      </c>
    </row>
    <row r="143" spans="1:5" ht="23.25" customHeight="1" x14ac:dyDescent="0.25">
      <c r="B143" s="1285" t="s">
        <v>1320</v>
      </c>
      <c r="C143" s="1285"/>
      <c r="D143" s="1285"/>
      <c r="E143" s="811">
        <v>3</v>
      </c>
    </row>
    <row r="144" spans="1:5" ht="23.25" customHeight="1" x14ac:dyDescent="0.25">
      <c r="B144" s="1285" t="s">
        <v>1346</v>
      </c>
      <c r="C144" s="1285"/>
      <c r="D144" s="1285"/>
      <c r="E144" s="811">
        <f>E143*E141*C139</f>
        <v>945</v>
      </c>
    </row>
    <row r="145" spans="1:5" ht="21" x14ac:dyDescent="0.25">
      <c r="B145" s="1285" t="s">
        <v>1338</v>
      </c>
      <c r="C145" s="1285"/>
      <c r="D145" s="1285"/>
      <c r="E145" s="811">
        <f>E144/C91</f>
        <v>10.5</v>
      </c>
    </row>
    <row r="148" spans="1:5" ht="31.5" x14ac:dyDescent="0.25">
      <c r="B148" s="1310" t="s">
        <v>1390</v>
      </c>
      <c r="C148" s="1310"/>
      <c r="D148" s="1310"/>
      <c r="E148" s="1310"/>
    </row>
    <row r="150" spans="1:5" s="827" customFormat="1" ht="26.25" x14ac:dyDescent="0.25">
      <c r="A150" s="828"/>
      <c r="B150" s="835" t="s">
        <v>1391</v>
      </c>
    </row>
    <row r="151" spans="1:5" s="827" customFormat="1" ht="18.75" x14ac:dyDescent="0.25">
      <c r="A151" s="828"/>
      <c r="B151" s="840" t="s">
        <v>1286</v>
      </c>
      <c r="C151" s="840">
        <v>110</v>
      </c>
      <c r="D151" s="840" t="s">
        <v>1263</v>
      </c>
    </row>
    <row r="153" spans="1:5" ht="15" customHeight="1" x14ac:dyDescent="0.25">
      <c r="A153" s="1305" t="s">
        <v>1351</v>
      </c>
      <c r="B153" s="809" t="s">
        <v>1392</v>
      </c>
      <c r="C153" s="809">
        <v>2500</v>
      </c>
      <c r="D153" s="809" t="s">
        <v>1322</v>
      </c>
    </row>
    <row r="154" spans="1:5" ht="15" customHeight="1" x14ac:dyDescent="0.25">
      <c r="A154" s="1306"/>
      <c r="B154" s="809" t="s">
        <v>1393</v>
      </c>
      <c r="C154" s="809">
        <f>C153/5</f>
        <v>500</v>
      </c>
      <c r="D154" s="809" t="s">
        <v>1322</v>
      </c>
    </row>
    <row r="155" spans="1:5" ht="15" customHeight="1" x14ac:dyDescent="0.25">
      <c r="A155" s="1306"/>
      <c r="B155" s="809" t="s">
        <v>1397</v>
      </c>
      <c r="C155" s="809">
        <v>0.112</v>
      </c>
      <c r="D155" s="809" t="s">
        <v>1263</v>
      </c>
      <c r="E155" s="237" t="s">
        <v>1351</v>
      </c>
    </row>
    <row r="156" spans="1:5" ht="15" customHeight="1" x14ac:dyDescent="0.25">
      <c r="A156" s="1306"/>
      <c r="B156" s="809" t="s">
        <v>1394</v>
      </c>
      <c r="C156" s="809">
        <v>8.5</v>
      </c>
      <c r="D156" s="809" t="s">
        <v>1263</v>
      </c>
    </row>
    <row r="157" spans="1:5" ht="15" customHeight="1" x14ac:dyDescent="0.25">
      <c r="A157" s="1306"/>
      <c r="B157" s="809" t="s">
        <v>1395</v>
      </c>
      <c r="C157" s="809">
        <f>C156*1.04*1.05*C154</f>
        <v>4641</v>
      </c>
      <c r="D157" s="809" t="s">
        <v>1322</v>
      </c>
    </row>
    <row r="158" spans="1:5" ht="15" customHeight="1" x14ac:dyDescent="0.25">
      <c r="A158" s="1307"/>
      <c r="B158" s="837" t="s">
        <v>1396</v>
      </c>
      <c r="C158" s="837">
        <f>C157/C151</f>
        <v>42.190909090909088</v>
      </c>
      <c r="D158" s="837" t="s">
        <v>1322</v>
      </c>
    </row>
    <row r="160" spans="1:5" x14ac:dyDescent="0.25">
      <c r="B160" s="815" t="s">
        <v>1294</v>
      </c>
      <c r="C160" s="815">
        <v>5</v>
      </c>
      <c r="D160" s="815" t="s">
        <v>1265</v>
      </c>
      <c r="E160" s="815"/>
    </row>
    <row r="161" spans="1:6" x14ac:dyDescent="0.25">
      <c r="B161" s="815" t="s">
        <v>1334</v>
      </c>
      <c r="C161" s="815">
        <v>3</v>
      </c>
      <c r="D161" s="815" t="s">
        <v>1335</v>
      </c>
      <c r="E161" s="815"/>
    </row>
    <row r="162" spans="1:6" ht="18" customHeight="1" x14ac:dyDescent="0.25">
      <c r="A162" s="1303" t="s">
        <v>1330</v>
      </c>
      <c r="B162" s="812" t="s">
        <v>1254</v>
      </c>
      <c r="C162" s="812" t="s">
        <v>1253</v>
      </c>
      <c r="D162" s="812" t="s">
        <v>1252</v>
      </c>
      <c r="E162" s="812" t="s">
        <v>1257</v>
      </c>
    </row>
    <row r="163" spans="1:6" ht="14.25" customHeight="1" x14ac:dyDescent="0.25">
      <c r="A163" s="1304"/>
      <c r="B163" s="809" t="s">
        <v>1331</v>
      </c>
      <c r="C163" s="809">
        <v>3</v>
      </c>
      <c r="D163" s="809">
        <v>110</v>
      </c>
      <c r="E163" s="809">
        <f>D163*C163</f>
        <v>330</v>
      </c>
    </row>
    <row r="164" spans="1:6" ht="14.25" customHeight="1" x14ac:dyDescent="0.25">
      <c r="A164" s="1304"/>
      <c r="B164" s="809" t="s">
        <v>1332</v>
      </c>
      <c r="C164" s="809">
        <v>2</v>
      </c>
      <c r="D164" s="809">
        <v>60</v>
      </c>
      <c r="E164" s="809">
        <f t="shared" ref="E164:E165" si="5">D164*C164</f>
        <v>120</v>
      </c>
    </row>
    <row r="165" spans="1:6" ht="14.25" customHeight="1" x14ac:dyDescent="0.25">
      <c r="A165" s="1304"/>
      <c r="B165" s="809" t="s">
        <v>1333</v>
      </c>
      <c r="C165" s="809">
        <v>2</v>
      </c>
      <c r="D165" s="809">
        <v>35</v>
      </c>
      <c r="E165" s="809">
        <f t="shared" si="5"/>
        <v>70</v>
      </c>
    </row>
    <row r="166" spans="1:6" ht="20.25" customHeight="1" x14ac:dyDescent="0.25">
      <c r="A166" s="1304"/>
      <c r="B166" s="1285" t="s">
        <v>1296</v>
      </c>
      <c r="C166" s="1285"/>
      <c r="D166" s="1285"/>
      <c r="E166" s="811">
        <f>SUM(E163:E165)</f>
        <v>520</v>
      </c>
    </row>
    <row r="167" spans="1:6" ht="20.25" customHeight="1" x14ac:dyDescent="0.25">
      <c r="A167" s="1304"/>
      <c r="B167" s="1285" t="s">
        <v>1295</v>
      </c>
      <c r="C167" s="1285"/>
      <c r="D167" s="1285"/>
      <c r="E167" s="811">
        <f>C151/(C160*C161)</f>
        <v>7.333333333333333</v>
      </c>
    </row>
    <row r="168" spans="1:6" ht="20.25" customHeight="1" x14ac:dyDescent="0.25">
      <c r="A168" s="1304"/>
      <c r="B168" s="1285" t="s">
        <v>1320</v>
      </c>
      <c r="C168" s="1285"/>
      <c r="D168" s="1285"/>
      <c r="E168" s="811">
        <v>8</v>
      </c>
    </row>
    <row r="169" spans="1:6" ht="20.25" customHeight="1" x14ac:dyDescent="0.25">
      <c r="A169" s="1304"/>
      <c r="B169" s="1285" t="s">
        <v>1398</v>
      </c>
      <c r="C169" s="1285"/>
      <c r="D169" s="1285"/>
      <c r="E169" s="811">
        <f>E168*E166*C161</f>
        <v>12480</v>
      </c>
    </row>
    <row r="170" spans="1:6" ht="20.25" customHeight="1" x14ac:dyDescent="0.25">
      <c r="A170" s="1304"/>
      <c r="B170" s="1288" t="s">
        <v>1338</v>
      </c>
      <c r="C170" s="1288"/>
      <c r="D170" s="1288"/>
      <c r="E170" s="836">
        <f>(E169/C151)</f>
        <v>113.45454545454545</v>
      </c>
      <c r="F170" s="237" t="s">
        <v>1336</v>
      </c>
    </row>
    <row r="172" spans="1:6" x14ac:dyDescent="0.25">
      <c r="B172" s="815" t="s">
        <v>1294</v>
      </c>
      <c r="C172" s="815">
        <v>1.5</v>
      </c>
      <c r="D172" s="815" t="s">
        <v>1400</v>
      </c>
      <c r="E172" s="815"/>
    </row>
    <row r="173" spans="1:6" x14ac:dyDescent="0.25">
      <c r="B173" s="815" t="s">
        <v>1294</v>
      </c>
      <c r="C173" s="815">
        <v>18.75</v>
      </c>
      <c r="D173" s="815" t="s">
        <v>1265</v>
      </c>
      <c r="E173" s="815"/>
    </row>
    <row r="174" spans="1:6" x14ac:dyDescent="0.25">
      <c r="B174" s="815" t="s">
        <v>1334</v>
      </c>
      <c r="C174" s="815">
        <v>1</v>
      </c>
      <c r="D174" s="815" t="s">
        <v>1335</v>
      </c>
      <c r="E174" s="815"/>
    </row>
    <row r="175" spans="1:6" ht="18.75" x14ac:dyDescent="0.25">
      <c r="A175" s="1308" t="s">
        <v>1399</v>
      </c>
      <c r="B175" s="812" t="s">
        <v>1254</v>
      </c>
      <c r="C175" s="812" t="s">
        <v>1253</v>
      </c>
      <c r="D175" s="812" t="s">
        <v>1252</v>
      </c>
      <c r="E175" s="812" t="s">
        <v>1257</v>
      </c>
    </row>
    <row r="176" spans="1:6" x14ac:dyDescent="0.25">
      <c r="A176" s="1308"/>
      <c r="B176" s="809" t="s">
        <v>1401</v>
      </c>
      <c r="C176" s="809">
        <v>1</v>
      </c>
      <c r="D176" s="809">
        <v>110</v>
      </c>
      <c r="E176" s="809">
        <f>D176*C176</f>
        <v>110</v>
      </c>
    </row>
    <row r="177" spans="1:6" x14ac:dyDescent="0.25">
      <c r="A177" s="1308"/>
      <c r="B177" s="809" t="s">
        <v>1402</v>
      </c>
      <c r="C177" s="809">
        <v>2</v>
      </c>
      <c r="D177" s="809">
        <v>60</v>
      </c>
      <c r="E177" s="809">
        <f t="shared" ref="E177:E179" si="6">D177*C177</f>
        <v>120</v>
      </c>
    </row>
    <row r="178" spans="1:6" x14ac:dyDescent="0.25">
      <c r="A178" s="1308"/>
      <c r="B178" s="809" t="s">
        <v>1332</v>
      </c>
      <c r="C178" s="809">
        <v>2</v>
      </c>
      <c r="D178" s="809">
        <v>45</v>
      </c>
      <c r="E178" s="809">
        <f t="shared" si="6"/>
        <v>90</v>
      </c>
    </row>
    <row r="179" spans="1:6" x14ac:dyDescent="0.25">
      <c r="A179" s="1308"/>
      <c r="B179" s="809" t="s">
        <v>1333</v>
      </c>
      <c r="C179" s="809">
        <v>2</v>
      </c>
      <c r="D179" s="809">
        <v>35</v>
      </c>
      <c r="E179" s="809">
        <f t="shared" si="6"/>
        <v>70</v>
      </c>
    </row>
    <row r="180" spans="1:6" ht="21" x14ac:dyDescent="0.25">
      <c r="A180" s="1308"/>
      <c r="B180" s="1285" t="s">
        <v>1296</v>
      </c>
      <c r="C180" s="1285"/>
      <c r="D180" s="1285"/>
      <c r="E180" s="811">
        <f>SUM(E176:E179)</f>
        <v>390</v>
      </c>
    </row>
    <row r="181" spans="1:6" ht="21" x14ac:dyDescent="0.25">
      <c r="A181" s="1308"/>
      <c r="B181" s="1285" t="s">
        <v>1295</v>
      </c>
      <c r="C181" s="1285"/>
      <c r="D181" s="1285"/>
      <c r="E181" s="811">
        <f>C151/(C173*C174)</f>
        <v>5.8666666666666663</v>
      </c>
    </row>
    <row r="182" spans="1:6" ht="21" x14ac:dyDescent="0.25">
      <c r="A182" s="1308"/>
      <c r="B182" s="1285" t="s">
        <v>1320</v>
      </c>
      <c r="C182" s="1285"/>
      <c r="D182" s="1285"/>
      <c r="E182" s="811">
        <v>6</v>
      </c>
    </row>
    <row r="183" spans="1:6" ht="21" x14ac:dyDescent="0.25">
      <c r="A183" s="1308"/>
      <c r="B183" s="1285" t="s">
        <v>1305</v>
      </c>
      <c r="C183" s="1285"/>
      <c r="D183" s="1285"/>
      <c r="E183" s="811">
        <f>E182*E180*C174</f>
        <v>2340</v>
      </c>
    </row>
    <row r="184" spans="1:6" ht="21" x14ac:dyDescent="0.25">
      <c r="A184" s="1308"/>
      <c r="B184" s="1288" t="s">
        <v>1338</v>
      </c>
      <c r="C184" s="1288"/>
      <c r="D184" s="1288"/>
      <c r="E184" s="836">
        <f>(E183/C151)</f>
        <v>21.272727272727273</v>
      </c>
      <c r="F184" s="237" t="s">
        <v>1336</v>
      </c>
    </row>
    <row r="186" spans="1:6" x14ac:dyDescent="0.25">
      <c r="B186" s="815" t="s">
        <v>1294</v>
      </c>
      <c r="C186" s="815">
        <v>320</v>
      </c>
      <c r="D186" s="815" t="s">
        <v>1265</v>
      </c>
      <c r="E186" s="815"/>
    </row>
    <row r="187" spans="1:6" x14ac:dyDescent="0.25">
      <c r="B187" s="815" t="s">
        <v>1334</v>
      </c>
      <c r="C187" s="815">
        <v>1</v>
      </c>
      <c r="D187" s="815" t="s">
        <v>1335</v>
      </c>
      <c r="E187" s="815"/>
    </row>
    <row r="188" spans="1:6" ht="18.75" x14ac:dyDescent="0.25">
      <c r="A188" s="1308" t="s">
        <v>1389</v>
      </c>
      <c r="B188" s="812" t="s">
        <v>1254</v>
      </c>
      <c r="C188" s="812" t="s">
        <v>1253</v>
      </c>
      <c r="D188" s="812" t="s">
        <v>1252</v>
      </c>
      <c r="E188" s="812" t="s">
        <v>1257</v>
      </c>
    </row>
    <row r="189" spans="1:6" x14ac:dyDescent="0.25">
      <c r="A189" s="1308"/>
      <c r="B189" s="809" t="s">
        <v>1343</v>
      </c>
      <c r="C189" s="809">
        <v>1</v>
      </c>
      <c r="D189" s="809">
        <v>60</v>
      </c>
      <c r="E189" s="809">
        <f>D189*C189</f>
        <v>60</v>
      </c>
    </row>
    <row r="190" spans="1:6" x14ac:dyDescent="0.25">
      <c r="A190" s="1308"/>
      <c r="B190" s="809" t="s">
        <v>1344</v>
      </c>
      <c r="C190" s="809">
        <v>1</v>
      </c>
      <c r="D190" s="809">
        <v>60</v>
      </c>
      <c r="E190" s="809">
        <f t="shared" ref="E190:E192" si="7">D190*C190</f>
        <v>60</v>
      </c>
    </row>
    <row r="191" spans="1:6" x14ac:dyDescent="0.25">
      <c r="A191" s="1308"/>
      <c r="B191" s="809" t="s">
        <v>1345</v>
      </c>
      <c r="C191" s="809">
        <v>1</v>
      </c>
      <c r="D191" s="809">
        <v>110</v>
      </c>
      <c r="E191" s="809">
        <f t="shared" si="7"/>
        <v>110</v>
      </c>
    </row>
    <row r="192" spans="1:6" x14ac:dyDescent="0.25">
      <c r="A192" s="1308"/>
      <c r="B192" s="809" t="s">
        <v>1332</v>
      </c>
      <c r="C192" s="809">
        <v>1</v>
      </c>
      <c r="D192" s="809">
        <v>60</v>
      </c>
      <c r="E192" s="809">
        <f t="shared" si="7"/>
        <v>60</v>
      </c>
    </row>
    <row r="193" spans="1:6" x14ac:dyDescent="0.25">
      <c r="A193" s="1308"/>
      <c r="B193" s="809"/>
      <c r="C193" s="809"/>
      <c r="D193" s="809"/>
      <c r="E193" s="809"/>
    </row>
    <row r="194" spans="1:6" ht="21" x14ac:dyDescent="0.25">
      <c r="A194" s="1308"/>
      <c r="B194" s="1285" t="s">
        <v>1296</v>
      </c>
      <c r="C194" s="1285"/>
      <c r="D194" s="1285"/>
      <c r="E194" s="811">
        <f>SUM(E189:E192)</f>
        <v>290</v>
      </c>
    </row>
    <row r="195" spans="1:6" ht="21" x14ac:dyDescent="0.25">
      <c r="A195" s="1308"/>
      <c r="B195" s="1285" t="s">
        <v>1295</v>
      </c>
      <c r="C195" s="1285"/>
      <c r="D195" s="1285"/>
      <c r="E195" s="811">
        <f>C151/(C186*C187)</f>
        <v>0.34375</v>
      </c>
    </row>
    <row r="196" spans="1:6" ht="21" x14ac:dyDescent="0.25">
      <c r="A196" s="1308"/>
      <c r="B196" s="1285" t="s">
        <v>1320</v>
      </c>
      <c r="C196" s="1285"/>
      <c r="D196" s="1285"/>
      <c r="E196" s="811">
        <v>1</v>
      </c>
    </row>
    <row r="197" spans="1:6" ht="21" x14ac:dyDescent="0.25">
      <c r="A197" s="1308"/>
      <c r="B197" s="1285" t="s">
        <v>1346</v>
      </c>
      <c r="C197" s="1285"/>
      <c r="D197" s="1285"/>
      <c r="E197" s="811">
        <f>E196*E194*C187</f>
        <v>290</v>
      </c>
    </row>
    <row r="198" spans="1:6" ht="21" x14ac:dyDescent="0.25">
      <c r="A198" s="1308"/>
      <c r="B198" s="1288" t="s">
        <v>1338</v>
      </c>
      <c r="C198" s="1288"/>
      <c r="D198" s="1288"/>
      <c r="E198" s="836">
        <f>(E197/C151)</f>
        <v>2.6363636363636362</v>
      </c>
      <c r="F198" s="237" t="s">
        <v>1336</v>
      </c>
    </row>
    <row r="200" spans="1:6" ht="18.75" x14ac:dyDescent="0.25">
      <c r="A200" s="1301" t="s">
        <v>1388</v>
      </c>
      <c r="B200" s="812" t="s">
        <v>1254</v>
      </c>
      <c r="C200" s="812" t="s">
        <v>1253</v>
      </c>
      <c r="D200" s="812" t="s">
        <v>1252</v>
      </c>
      <c r="E200" s="812" t="s">
        <v>1257</v>
      </c>
    </row>
    <row r="201" spans="1:6" x14ac:dyDescent="0.25">
      <c r="A201" s="1301"/>
      <c r="B201" s="809" t="s">
        <v>1403</v>
      </c>
      <c r="C201" s="809">
        <v>1</v>
      </c>
      <c r="D201" s="809">
        <v>150</v>
      </c>
      <c r="E201" s="809">
        <f>D201*C201</f>
        <v>150</v>
      </c>
    </row>
    <row r="202" spans="1:6" ht="21" x14ac:dyDescent="0.25">
      <c r="A202" s="1301"/>
      <c r="B202" s="1285" t="s">
        <v>1296</v>
      </c>
      <c r="C202" s="1285"/>
      <c r="D202" s="1285"/>
      <c r="E202" s="811">
        <f>SUM(E201:E201)</f>
        <v>150</v>
      </c>
    </row>
    <row r="203" spans="1:6" ht="21" x14ac:dyDescent="0.25">
      <c r="A203" s="1301"/>
      <c r="B203" s="1288" t="s">
        <v>1338</v>
      </c>
      <c r="C203" s="1288"/>
      <c r="D203" s="1288"/>
      <c r="E203" s="836">
        <f>E202/C151</f>
        <v>1.3636363636363635</v>
      </c>
    </row>
    <row r="205" spans="1:6" ht="21" x14ac:dyDescent="0.25">
      <c r="B205" s="1288" t="s">
        <v>1337</v>
      </c>
      <c r="C205" s="1288"/>
      <c r="D205" s="1288"/>
      <c r="E205" s="836">
        <f>600+I115</f>
        <v>603.6</v>
      </c>
    </row>
    <row r="208" spans="1:6" ht="21" x14ac:dyDescent="0.25">
      <c r="B208" s="1286" t="s">
        <v>1348</v>
      </c>
      <c r="C208" s="1286"/>
      <c r="D208" s="1286"/>
      <c r="E208" s="1286"/>
    </row>
    <row r="209" spans="2:5" x14ac:dyDescent="0.25">
      <c r="B209" s="815" t="s">
        <v>1294</v>
      </c>
      <c r="C209" s="815">
        <v>12</v>
      </c>
      <c r="D209" s="815" t="s">
        <v>1265</v>
      </c>
    </row>
    <row r="210" spans="2:5" x14ac:dyDescent="0.25">
      <c r="B210" s="815" t="s">
        <v>1349</v>
      </c>
      <c r="C210" s="815">
        <v>3</v>
      </c>
      <c r="D210" s="815" t="s">
        <v>1350</v>
      </c>
    </row>
    <row r="211" spans="2:5" ht="18.75" x14ac:dyDescent="0.25">
      <c r="B211" s="812" t="s">
        <v>1254</v>
      </c>
      <c r="C211" s="812" t="s">
        <v>1253</v>
      </c>
      <c r="D211" s="812" t="s">
        <v>1252</v>
      </c>
      <c r="E211" s="812" t="s">
        <v>1257</v>
      </c>
    </row>
    <row r="212" spans="2:5" x14ac:dyDescent="0.25">
      <c r="B212" s="809" t="s">
        <v>1249</v>
      </c>
      <c r="C212" s="809">
        <v>3</v>
      </c>
      <c r="D212" s="809">
        <v>35</v>
      </c>
      <c r="E212" s="809">
        <f>D212*C212</f>
        <v>105</v>
      </c>
    </row>
    <row r="213" spans="2:5" ht="21" x14ac:dyDescent="0.25">
      <c r="B213" s="1285" t="s">
        <v>1296</v>
      </c>
      <c r="C213" s="1285"/>
      <c r="D213" s="1285"/>
      <c r="E213" s="811">
        <f>C151/(C210*C209)</f>
        <v>3.0555555555555554</v>
      </c>
    </row>
    <row r="214" spans="2:5" ht="21" x14ac:dyDescent="0.25">
      <c r="B214" s="1285" t="s">
        <v>1320</v>
      </c>
      <c r="C214" s="1285"/>
      <c r="D214" s="1285"/>
      <c r="E214" s="811">
        <v>3</v>
      </c>
    </row>
    <row r="215" spans="2:5" ht="21" x14ac:dyDescent="0.25">
      <c r="B215" s="1285" t="s">
        <v>1346</v>
      </c>
      <c r="C215" s="1285"/>
      <c r="D215" s="1285"/>
      <c r="E215" s="811">
        <f>E214*E212*C210</f>
        <v>945</v>
      </c>
    </row>
    <row r="216" spans="2:5" ht="21" x14ac:dyDescent="0.25">
      <c r="B216" s="1285" t="s">
        <v>1338</v>
      </c>
      <c r="C216" s="1285"/>
      <c r="D216" s="1285"/>
      <c r="E216" s="811">
        <f>E215/C151</f>
        <v>8.5909090909090917</v>
      </c>
    </row>
    <row r="219" spans="2:5" ht="26.25" x14ac:dyDescent="0.25">
      <c r="B219" s="842" t="s">
        <v>1404</v>
      </c>
      <c r="C219" s="841"/>
      <c r="D219" s="841"/>
      <c r="E219" s="841"/>
    </row>
    <row r="221" spans="2:5" x14ac:dyDescent="0.25">
      <c r="B221" s="237" t="s">
        <v>1405</v>
      </c>
    </row>
    <row r="510" spans="2:4" ht="33.75" x14ac:dyDescent="0.25">
      <c r="B510" s="1299" t="s">
        <v>1376</v>
      </c>
      <c r="C510" s="1299"/>
      <c r="D510" s="1299"/>
    </row>
    <row r="511" spans="2:4" ht="18" customHeight="1" x14ac:dyDescent="0.25">
      <c r="B511" s="182"/>
    </row>
    <row r="512" spans="2:4" ht="18" customHeight="1" x14ac:dyDescent="0.25">
      <c r="B512" s="828" t="s">
        <v>1363</v>
      </c>
      <c r="C512" s="815">
        <v>110</v>
      </c>
      <c r="D512" s="815" t="s">
        <v>1313</v>
      </c>
    </row>
    <row r="513" spans="1:9" ht="18" customHeight="1" x14ac:dyDescent="0.25">
      <c r="B513" s="829"/>
      <c r="C513" s="815">
        <v>20</v>
      </c>
      <c r="D513" s="815" t="s">
        <v>1263</v>
      </c>
    </row>
    <row r="514" spans="1:9" ht="22.5" customHeight="1" x14ac:dyDescent="0.25">
      <c r="B514" s="831" t="s">
        <v>1375</v>
      </c>
      <c r="C514" s="815"/>
      <c r="D514" s="815"/>
      <c r="F514" s="1309" t="s">
        <v>1385</v>
      </c>
      <c r="G514" s="1309"/>
      <c r="H514" s="1309"/>
    </row>
    <row r="515" spans="1:9" ht="18.75" x14ac:dyDescent="0.25">
      <c r="B515" s="812" t="s">
        <v>1254</v>
      </c>
      <c r="C515" s="812" t="s">
        <v>1363</v>
      </c>
      <c r="D515" s="812" t="s">
        <v>1358</v>
      </c>
      <c r="E515" s="812" t="s">
        <v>1364</v>
      </c>
      <c r="F515" s="812" t="s">
        <v>1377</v>
      </c>
      <c r="G515" s="812" t="s">
        <v>1378</v>
      </c>
      <c r="H515" s="812" t="s">
        <v>1257</v>
      </c>
    </row>
    <row r="516" spans="1:9" x14ac:dyDescent="0.25">
      <c r="A516" s="1298" t="s">
        <v>1357</v>
      </c>
      <c r="B516" s="809" t="s">
        <v>1356</v>
      </c>
      <c r="C516" s="809">
        <v>438</v>
      </c>
      <c r="D516" s="823">
        <v>0.05</v>
      </c>
      <c r="E516" s="809">
        <f>C516*(1+D516)</f>
        <v>459.90000000000003</v>
      </c>
      <c r="F516" s="813">
        <f>E516*C513</f>
        <v>9198</v>
      </c>
      <c r="G516" s="813">
        <v>368.5</v>
      </c>
      <c r="H516" s="809">
        <f>G516*F516/1000</f>
        <v>3389.4630000000002</v>
      </c>
    </row>
    <row r="517" spans="1:9" x14ac:dyDescent="0.25">
      <c r="A517" s="1298"/>
      <c r="B517" s="809" t="s">
        <v>1355</v>
      </c>
      <c r="C517" s="809">
        <v>0.21</v>
      </c>
      <c r="D517" s="824">
        <v>0.2</v>
      </c>
      <c r="E517" s="809">
        <f>C517*(1+D517)</f>
        <v>0.252</v>
      </c>
      <c r="F517" s="813">
        <f>E517*C513</f>
        <v>5.04</v>
      </c>
      <c r="G517" s="813">
        <v>17.25</v>
      </c>
      <c r="H517" s="809">
        <f t="shared" ref="H517:H521" si="8">G517*F517</f>
        <v>86.94</v>
      </c>
      <c r="I517" s="237" t="s">
        <v>1263</v>
      </c>
    </row>
    <row r="518" spans="1:9" x14ac:dyDescent="0.25">
      <c r="A518" s="825" t="s">
        <v>1361</v>
      </c>
      <c r="B518" s="809" t="s">
        <v>1354</v>
      </c>
      <c r="C518" s="809">
        <v>300</v>
      </c>
      <c r="D518" s="809"/>
      <c r="E518" s="809">
        <f>E517*C518</f>
        <v>75.599999999999994</v>
      </c>
      <c r="F518" s="813">
        <f>E518*C513</f>
        <v>1512</v>
      </c>
      <c r="G518" s="813">
        <v>577.5</v>
      </c>
      <c r="H518" s="809">
        <f>G518*F518/1000</f>
        <v>873.18</v>
      </c>
      <c r="I518" s="237" t="s">
        <v>1359</v>
      </c>
    </row>
    <row r="520" spans="1:9" x14ac:dyDescent="0.25">
      <c r="A520" s="1298" t="s">
        <v>1360</v>
      </c>
      <c r="B520" s="809" t="s">
        <v>1356</v>
      </c>
      <c r="C520" s="809">
        <v>55</v>
      </c>
      <c r="D520" s="823">
        <v>0.05</v>
      </c>
      <c r="E520" s="809">
        <f>C520*(1+D520)</f>
        <v>57.75</v>
      </c>
      <c r="F520" s="813">
        <f>E520*C512</f>
        <v>6352.5</v>
      </c>
      <c r="G520" s="813">
        <v>368.5</v>
      </c>
      <c r="H520" s="809">
        <f>G520*F520/1000</f>
        <v>2340.8962499999998</v>
      </c>
    </row>
    <row r="521" spans="1:9" x14ac:dyDescent="0.25">
      <c r="A521" s="1298"/>
      <c r="B521" s="809" t="s">
        <v>1355</v>
      </c>
      <c r="C521" s="809">
        <v>2.1000000000000001E-2</v>
      </c>
      <c r="D521" s="824">
        <v>0.2</v>
      </c>
      <c r="E521" s="809">
        <f>C521*(1+D521)</f>
        <v>2.52E-2</v>
      </c>
      <c r="F521" s="813">
        <f>E521*C512</f>
        <v>2.7720000000000002</v>
      </c>
      <c r="G521" s="813">
        <v>17.25</v>
      </c>
      <c r="H521" s="809">
        <f t="shared" si="8"/>
        <v>47.817000000000007</v>
      </c>
      <c r="I521" s="237" t="s">
        <v>1263</v>
      </c>
    </row>
    <row r="522" spans="1:9" x14ac:dyDescent="0.25">
      <c r="A522" s="825" t="s">
        <v>1362</v>
      </c>
      <c r="B522" s="809" t="s">
        <v>1354</v>
      </c>
      <c r="C522" s="809">
        <v>350</v>
      </c>
      <c r="D522" s="809"/>
      <c r="E522" s="809">
        <f>E521*C522</f>
        <v>8.82</v>
      </c>
      <c r="F522" s="813">
        <f>E522*C512</f>
        <v>970.2</v>
      </c>
      <c r="G522" s="813">
        <v>577.5</v>
      </c>
      <c r="H522" s="809">
        <f>G522*F522/1000</f>
        <v>560.29049999999995</v>
      </c>
      <c r="I522" s="237" t="s">
        <v>1359</v>
      </c>
    </row>
    <row r="524" spans="1:9" ht="23.25" x14ac:dyDescent="0.25">
      <c r="H524" s="832">
        <f>SUM(H516:H523)</f>
        <v>7298.5867500000004</v>
      </c>
    </row>
    <row r="525" spans="1:9" s="826" customFormat="1" ht="15.75" x14ac:dyDescent="0.25">
      <c r="B525" s="826" t="s">
        <v>1366</v>
      </c>
      <c r="C525" s="826">
        <v>6</v>
      </c>
      <c r="D525" s="826" t="s">
        <v>1265</v>
      </c>
    </row>
    <row r="526" spans="1:9" s="826" customFormat="1" ht="15.75" x14ac:dyDescent="0.25">
      <c r="B526" s="826" t="s">
        <v>1366</v>
      </c>
      <c r="C526" s="826">
        <v>40</v>
      </c>
      <c r="D526" s="826" t="s">
        <v>1367</v>
      </c>
    </row>
    <row r="527" spans="1:9" ht="18" customHeight="1" x14ac:dyDescent="0.25">
      <c r="B527" s="831" t="s">
        <v>1365</v>
      </c>
    </row>
    <row r="528" spans="1:9" ht="18.75" x14ac:dyDescent="0.25">
      <c r="B528" s="812" t="s">
        <v>1254</v>
      </c>
      <c r="C528" s="812" t="s">
        <v>1253</v>
      </c>
      <c r="D528" s="812" t="s">
        <v>1368</v>
      </c>
      <c r="E528" s="812" t="s">
        <v>1257</v>
      </c>
    </row>
    <row r="529" spans="1:5" x14ac:dyDescent="0.25">
      <c r="A529" s="815" t="s">
        <v>1371</v>
      </c>
      <c r="B529" s="809" t="s">
        <v>1369</v>
      </c>
      <c r="C529" s="809">
        <v>3</v>
      </c>
      <c r="D529" s="809">
        <v>110</v>
      </c>
      <c r="E529" s="809">
        <f>D529*C529</f>
        <v>330</v>
      </c>
    </row>
    <row r="530" spans="1:5" x14ac:dyDescent="0.25">
      <c r="A530" s="815" t="s">
        <v>1372</v>
      </c>
      <c r="B530" s="809" t="s">
        <v>1332</v>
      </c>
      <c r="C530" s="809">
        <v>2</v>
      </c>
      <c r="D530" s="809">
        <v>60</v>
      </c>
      <c r="E530" s="809">
        <f t="shared" ref="E530:E532" si="9">D530*C530</f>
        <v>120</v>
      </c>
    </row>
    <row r="531" spans="1:5" x14ac:dyDescent="0.25">
      <c r="A531" s="815" t="s">
        <v>1373</v>
      </c>
      <c r="B531" s="809" t="s">
        <v>1333</v>
      </c>
      <c r="C531" s="809">
        <v>2</v>
      </c>
      <c r="D531" s="809">
        <v>40</v>
      </c>
      <c r="E531" s="809">
        <f t="shared" si="9"/>
        <v>80</v>
      </c>
    </row>
    <row r="532" spans="1:5" x14ac:dyDescent="0.25">
      <c r="A532" s="815" t="s">
        <v>1374</v>
      </c>
      <c r="B532" s="809" t="s">
        <v>1370</v>
      </c>
      <c r="C532" s="809">
        <v>1</v>
      </c>
      <c r="D532" s="809">
        <v>35</v>
      </c>
      <c r="E532" s="809">
        <f t="shared" si="9"/>
        <v>35</v>
      </c>
    </row>
    <row r="534" spans="1:5" ht="23.25" x14ac:dyDescent="0.25">
      <c r="E534" s="832">
        <f>SUM(E529:E533)</f>
        <v>565</v>
      </c>
    </row>
    <row r="536" spans="1:5" ht="20.25" customHeight="1" x14ac:dyDescent="0.25">
      <c r="B536" s="809" t="s">
        <v>1379</v>
      </c>
      <c r="C536" s="809">
        <f>C512/C526</f>
        <v>2.75</v>
      </c>
      <c r="D536" s="809" t="s">
        <v>1251</v>
      </c>
    </row>
    <row r="537" spans="1:5" ht="20.25" customHeight="1" x14ac:dyDescent="0.25">
      <c r="B537" s="809" t="s">
        <v>1380</v>
      </c>
      <c r="C537" s="809">
        <f>C513/C525</f>
        <v>3.3333333333333335</v>
      </c>
      <c r="D537" s="809" t="s">
        <v>1251</v>
      </c>
    </row>
    <row r="539" spans="1:5" ht="23.25" x14ac:dyDescent="0.25">
      <c r="B539" s="825" t="s">
        <v>1381</v>
      </c>
      <c r="C539" s="833">
        <f>SUM(C536:C538)</f>
        <v>6.0833333333333339</v>
      </c>
      <c r="D539" s="237" t="s">
        <v>1251</v>
      </c>
    </row>
    <row r="540" spans="1:5" ht="23.25" x14ac:dyDescent="0.25">
      <c r="B540" s="825" t="s">
        <v>1382</v>
      </c>
      <c r="C540" s="833">
        <v>7</v>
      </c>
      <c r="D540" s="237" t="s">
        <v>1251</v>
      </c>
    </row>
    <row r="542" spans="1:5" ht="18.75" x14ac:dyDescent="0.25">
      <c r="B542" s="810" t="s">
        <v>1383</v>
      </c>
      <c r="C542" s="810">
        <f>C540*E534</f>
        <v>3955</v>
      </c>
    </row>
    <row r="543" spans="1:5" ht="18.75" x14ac:dyDescent="0.25">
      <c r="B543" s="810" t="s">
        <v>1384</v>
      </c>
      <c r="C543" s="810">
        <f>H524</f>
        <v>7298.5867500000004</v>
      </c>
    </row>
    <row r="545" spans="2:3" ht="18.75" x14ac:dyDescent="0.25">
      <c r="B545" s="810" t="s">
        <v>1258</v>
      </c>
      <c r="C545" s="834">
        <f>SUM(C542:C544)</f>
        <v>11253.58675</v>
      </c>
    </row>
  </sheetData>
  <mergeCells count="85">
    <mergeCell ref="B216:D216"/>
    <mergeCell ref="B208:E208"/>
    <mergeCell ref="B213:D213"/>
    <mergeCell ref="B214:D214"/>
    <mergeCell ref="B215:D215"/>
    <mergeCell ref="B203:D203"/>
    <mergeCell ref="B205:D205"/>
    <mergeCell ref="A188:A198"/>
    <mergeCell ref="B194:D194"/>
    <mergeCell ref="B195:D195"/>
    <mergeCell ref="B196:D196"/>
    <mergeCell ref="B197:D197"/>
    <mergeCell ref="B198:D198"/>
    <mergeCell ref="F514:H514"/>
    <mergeCell ref="B4:E4"/>
    <mergeCell ref="B15:E15"/>
    <mergeCell ref="B45:E45"/>
    <mergeCell ref="B67:E67"/>
    <mergeCell ref="B89:E89"/>
    <mergeCell ref="B148:E148"/>
    <mergeCell ref="B19:C19"/>
    <mergeCell ref="B166:D166"/>
    <mergeCell ref="B167:D167"/>
    <mergeCell ref="B168:D168"/>
    <mergeCell ref="B169:D169"/>
    <mergeCell ref="B170:D170"/>
    <mergeCell ref="B180:D180"/>
    <mergeCell ref="B181:D181"/>
    <mergeCell ref="B182:D182"/>
    <mergeCell ref="A10:A11"/>
    <mergeCell ref="B12:D12"/>
    <mergeCell ref="A520:A521"/>
    <mergeCell ref="A516:A517"/>
    <mergeCell ref="B510:D510"/>
    <mergeCell ref="A93:A101"/>
    <mergeCell ref="A130:A133"/>
    <mergeCell ref="A118:A127"/>
    <mergeCell ref="A105:A113"/>
    <mergeCell ref="A153:A158"/>
    <mergeCell ref="A162:A170"/>
    <mergeCell ref="A175:A184"/>
    <mergeCell ref="B183:D183"/>
    <mergeCell ref="B184:D184"/>
    <mergeCell ref="A200:A203"/>
    <mergeCell ref="B202:D202"/>
    <mergeCell ref="C2:E2"/>
    <mergeCell ref="B20:C21"/>
    <mergeCell ref="B22:C22"/>
    <mergeCell ref="B42:D42"/>
    <mergeCell ref="B43:D43"/>
    <mergeCell ref="F23:F24"/>
    <mergeCell ref="B57:D57"/>
    <mergeCell ref="B41:D41"/>
    <mergeCell ref="B126:D126"/>
    <mergeCell ref="B127:D127"/>
    <mergeCell ref="B76:D76"/>
    <mergeCell ref="B40:D40"/>
    <mergeCell ref="B132:D132"/>
    <mergeCell ref="B58:D58"/>
    <mergeCell ref="B60:D60"/>
    <mergeCell ref="B65:D65"/>
    <mergeCell ref="B59:D59"/>
    <mergeCell ref="B64:D64"/>
    <mergeCell ref="B113:D113"/>
    <mergeCell ref="B115:D115"/>
    <mergeCell ref="B77:D77"/>
    <mergeCell ref="B78:D78"/>
    <mergeCell ref="B79:D79"/>
    <mergeCell ref="B86:D86"/>
    <mergeCell ref="B87:D87"/>
    <mergeCell ref="B109:D109"/>
    <mergeCell ref="H110:I111"/>
    <mergeCell ref="B123:D123"/>
    <mergeCell ref="B124:D124"/>
    <mergeCell ref="B125:D125"/>
    <mergeCell ref="B110:D110"/>
    <mergeCell ref="B111:D111"/>
    <mergeCell ref="B112:D112"/>
    <mergeCell ref="B135:D135"/>
    <mergeCell ref="B133:D133"/>
    <mergeCell ref="B142:D142"/>
    <mergeCell ref="B145:D145"/>
    <mergeCell ref="B143:D143"/>
    <mergeCell ref="B144:D144"/>
    <mergeCell ref="B137:E137"/>
  </mergeCells>
  <pageMargins left="0.7" right="0.7" top="0.75" bottom="0.75" header="0.3" footer="0.3"/>
  <pageSetup paperSize="9" orientation="portrait" r:id="rId1"/>
  <ignoredErrors>
    <ignoredError sqref="D28" formulaRange="1"/>
    <ignoredError sqref="H520:H521 H517" formula="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filterMode="1"/>
  <dimension ref="A1:H147"/>
  <sheetViews>
    <sheetView rightToLeft="1" topLeftCell="B1" workbookViewId="0">
      <pane ySplit="3" topLeftCell="A4" activePane="bottomLeft" state="frozen"/>
      <selection activeCell="C1" sqref="C1"/>
      <selection pane="bottomLeft" activeCell="E106" sqref="E106"/>
    </sheetView>
  </sheetViews>
  <sheetFormatPr defaultRowHeight="14.25" thickTop="1" thickBottom="1" x14ac:dyDescent="0.25"/>
  <cols>
    <col min="1" max="1" width="0.28515625" style="856" hidden="1" customWidth="1"/>
    <col min="2" max="2" width="7.7109375" style="849" bestFit="1" customWidth="1"/>
    <col min="3" max="3" width="31" style="858" bestFit="1" customWidth="1"/>
    <col min="4" max="4" width="22.140625" style="859" customWidth="1"/>
    <col min="5" max="5" width="29.140625" style="877" bestFit="1" customWidth="1"/>
    <col min="6" max="6" width="8.85546875" style="876" customWidth="1"/>
    <col min="7" max="7" width="17.7109375" style="849" customWidth="1"/>
    <col min="8" max="8" width="55.5703125" style="856" bestFit="1" customWidth="1"/>
    <col min="9" max="256" width="9" style="856"/>
    <col min="257" max="257" width="0" style="856" hidden="1" customWidth="1"/>
    <col min="258" max="258" width="7.7109375" style="856" bestFit="1" customWidth="1"/>
    <col min="259" max="259" width="31" style="856" bestFit="1" customWidth="1"/>
    <col min="260" max="260" width="22.140625" style="856" customWidth="1"/>
    <col min="261" max="261" width="29.140625" style="856" bestFit="1" customWidth="1"/>
    <col min="262" max="262" width="8.85546875" style="856" customWidth="1"/>
    <col min="263" max="263" width="10.42578125" style="856" customWidth="1"/>
    <col min="264" max="264" width="55.5703125" style="856" bestFit="1" customWidth="1"/>
    <col min="265" max="512" width="9" style="856"/>
    <col min="513" max="513" width="0" style="856" hidden="1" customWidth="1"/>
    <col min="514" max="514" width="7.7109375" style="856" bestFit="1" customWidth="1"/>
    <col min="515" max="515" width="31" style="856" bestFit="1" customWidth="1"/>
    <col min="516" max="516" width="22.140625" style="856" customWidth="1"/>
    <col min="517" max="517" width="29.140625" style="856" bestFit="1" customWidth="1"/>
    <col min="518" max="518" width="8.85546875" style="856" customWidth="1"/>
    <col min="519" max="519" width="10.42578125" style="856" customWidth="1"/>
    <col min="520" max="520" width="55.5703125" style="856" bestFit="1" customWidth="1"/>
    <col min="521" max="768" width="9" style="856"/>
    <col min="769" max="769" width="0" style="856" hidden="1" customWidth="1"/>
    <col min="770" max="770" width="7.7109375" style="856" bestFit="1" customWidth="1"/>
    <col min="771" max="771" width="31" style="856" bestFit="1" customWidth="1"/>
    <col min="772" max="772" width="22.140625" style="856" customWidth="1"/>
    <col min="773" max="773" width="29.140625" style="856" bestFit="1" customWidth="1"/>
    <col min="774" max="774" width="8.85546875" style="856" customWidth="1"/>
    <col min="775" max="775" width="10.42578125" style="856" customWidth="1"/>
    <col min="776" max="776" width="55.5703125" style="856" bestFit="1" customWidth="1"/>
    <col min="777" max="1024" width="9" style="856"/>
    <col min="1025" max="1025" width="0" style="856" hidden="1" customWidth="1"/>
    <col min="1026" max="1026" width="7.7109375" style="856" bestFit="1" customWidth="1"/>
    <col min="1027" max="1027" width="31" style="856" bestFit="1" customWidth="1"/>
    <col min="1028" max="1028" width="22.140625" style="856" customWidth="1"/>
    <col min="1029" max="1029" width="29.140625" style="856" bestFit="1" customWidth="1"/>
    <col min="1030" max="1030" width="8.85546875" style="856" customWidth="1"/>
    <col min="1031" max="1031" width="10.42578125" style="856" customWidth="1"/>
    <col min="1032" max="1032" width="55.5703125" style="856" bestFit="1" customWidth="1"/>
    <col min="1033" max="1280" width="9" style="856"/>
    <col min="1281" max="1281" width="0" style="856" hidden="1" customWidth="1"/>
    <col min="1282" max="1282" width="7.7109375" style="856" bestFit="1" customWidth="1"/>
    <col min="1283" max="1283" width="31" style="856" bestFit="1" customWidth="1"/>
    <col min="1284" max="1284" width="22.140625" style="856" customWidth="1"/>
    <col min="1285" max="1285" width="29.140625" style="856" bestFit="1" customWidth="1"/>
    <col min="1286" max="1286" width="8.85546875" style="856" customWidth="1"/>
    <col min="1287" max="1287" width="10.42578125" style="856" customWidth="1"/>
    <col min="1288" max="1288" width="55.5703125" style="856" bestFit="1" customWidth="1"/>
    <col min="1289" max="1536" width="9" style="856"/>
    <col min="1537" max="1537" width="0" style="856" hidden="1" customWidth="1"/>
    <col min="1538" max="1538" width="7.7109375" style="856" bestFit="1" customWidth="1"/>
    <col min="1539" max="1539" width="31" style="856" bestFit="1" customWidth="1"/>
    <col min="1540" max="1540" width="22.140625" style="856" customWidth="1"/>
    <col min="1541" max="1541" width="29.140625" style="856" bestFit="1" customWidth="1"/>
    <col min="1542" max="1542" width="8.85546875" style="856" customWidth="1"/>
    <col min="1543" max="1543" width="10.42578125" style="856" customWidth="1"/>
    <col min="1544" max="1544" width="55.5703125" style="856" bestFit="1" customWidth="1"/>
    <col min="1545" max="1792" width="9" style="856"/>
    <col min="1793" max="1793" width="0" style="856" hidden="1" customWidth="1"/>
    <col min="1794" max="1794" width="7.7109375" style="856" bestFit="1" customWidth="1"/>
    <col min="1795" max="1795" width="31" style="856" bestFit="1" customWidth="1"/>
    <col min="1796" max="1796" width="22.140625" style="856" customWidth="1"/>
    <col min="1797" max="1797" width="29.140625" style="856" bestFit="1" customWidth="1"/>
    <col min="1798" max="1798" width="8.85546875" style="856" customWidth="1"/>
    <col min="1799" max="1799" width="10.42578125" style="856" customWidth="1"/>
    <col min="1800" max="1800" width="55.5703125" style="856" bestFit="1" customWidth="1"/>
    <col min="1801" max="2048" width="9" style="856"/>
    <col min="2049" max="2049" width="0" style="856" hidden="1" customWidth="1"/>
    <col min="2050" max="2050" width="7.7109375" style="856" bestFit="1" customWidth="1"/>
    <col min="2051" max="2051" width="31" style="856" bestFit="1" customWidth="1"/>
    <col min="2052" max="2052" width="22.140625" style="856" customWidth="1"/>
    <col min="2053" max="2053" width="29.140625" style="856" bestFit="1" customWidth="1"/>
    <col min="2054" max="2054" width="8.85546875" style="856" customWidth="1"/>
    <col min="2055" max="2055" width="10.42578125" style="856" customWidth="1"/>
    <col min="2056" max="2056" width="55.5703125" style="856" bestFit="1" customWidth="1"/>
    <col min="2057" max="2304" width="9" style="856"/>
    <col min="2305" max="2305" width="0" style="856" hidden="1" customWidth="1"/>
    <col min="2306" max="2306" width="7.7109375" style="856" bestFit="1" customWidth="1"/>
    <col min="2307" max="2307" width="31" style="856" bestFit="1" customWidth="1"/>
    <col min="2308" max="2308" width="22.140625" style="856" customWidth="1"/>
    <col min="2309" max="2309" width="29.140625" style="856" bestFit="1" customWidth="1"/>
    <col min="2310" max="2310" width="8.85546875" style="856" customWidth="1"/>
    <col min="2311" max="2311" width="10.42578125" style="856" customWidth="1"/>
    <col min="2312" max="2312" width="55.5703125" style="856" bestFit="1" customWidth="1"/>
    <col min="2313" max="2560" width="9" style="856"/>
    <col min="2561" max="2561" width="0" style="856" hidden="1" customWidth="1"/>
    <col min="2562" max="2562" width="7.7109375" style="856" bestFit="1" customWidth="1"/>
    <col min="2563" max="2563" width="31" style="856" bestFit="1" customWidth="1"/>
    <col min="2564" max="2564" width="22.140625" style="856" customWidth="1"/>
    <col min="2565" max="2565" width="29.140625" style="856" bestFit="1" customWidth="1"/>
    <col min="2566" max="2566" width="8.85546875" style="856" customWidth="1"/>
    <col min="2567" max="2567" width="10.42578125" style="856" customWidth="1"/>
    <col min="2568" max="2568" width="55.5703125" style="856" bestFit="1" customWidth="1"/>
    <col min="2569" max="2816" width="9" style="856"/>
    <col min="2817" max="2817" width="0" style="856" hidden="1" customWidth="1"/>
    <col min="2818" max="2818" width="7.7109375" style="856" bestFit="1" customWidth="1"/>
    <col min="2819" max="2819" width="31" style="856" bestFit="1" customWidth="1"/>
    <col min="2820" max="2820" width="22.140625" style="856" customWidth="1"/>
    <col min="2821" max="2821" width="29.140625" style="856" bestFit="1" customWidth="1"/>
    <col min="2822" max="2822" width="8.85546875" style="856" customWidth="1"/>
    <col min="2823" max="2823" width="10.42578125" style="856" customWidth="1"/>
    <col min="2824" max="2824" width="55.5703125" style="856" bestFit="1" customWidth="1"/>
    <col min="2825" max="3072" width="9" style="856"/>
    <col min="3073" max="3073" width="0" style="856" hidden="1" customWidth="1"/>
    <col min="3074" max="3074" width="7.7109375" style="856" bestFit="1" customWidth="1"/>
    <col min="3075" max="3075" width="31" style="856" bestFit="1" customWidth="1"/>
    <col min="3076" max="3076" width="22.140625" style="856" customWidth="1"/>
    <col min="3077" max="3077" width="29.140625" style="856" bestFit="1" customWidth="1"/>
    <col min="3078" max="3078" width="8.85546875" style="856" customWidth="1"/>
    <col min="3079" max="3079" width="10.42578125" style="856" customWidth="1"/>
    <col min="3080" max="3080" width="55.5703125" style="856" bestFit="1" customWidth="1"/>
    <col min="3081" max="3328" width="9" style="856"/>
    <col min="3329" max="3329" width="0" style="856" hidden="1" customWidth="1"/>
    <col min="3330" max="3330" width="7.7109375" style="856" bestFit="1" customWidth="1"/>
    <col min="3331" max="3331" width="31" style="856" bestFit="1" customWidth="1"/>
    <col min="3332" max="3332" width="22.140625" style="856" customWidth="1"/>
    <col min="3333" max="3333" width="29.140625" style="856" bestFit="1" customWidth="1"/>
    <col min="3334" max="3334" width="8.85546875" style="856" customWidth="1"/>
    <col min="3335" max="3335" width="10.42578125" style="856" customWidth="1"/>
    <col min="3336" max="3336" width="55.5703125" style="856" bestFit="1" customWidth="1"/>
    <col min="3337" max="3584" width="9" style="856"/>
    <col min="3585" max="3585" width="0" style="856" hidden="1" customWidth="1"/>
    <col min="3586" max="3586" width="7.7109375" style="856" bestFit="1" customWidth="1"/>
    <col min="3587" max="3587" width="31" style="856" bestFit="1" customWidth="1"/>
    <col min="3588" max="3588" width="22.140625" style="856" customWidth="1"/>
    <col min="3589" max="3589" width="29.140625" style="856" bestFit="1" customWidth="1"/>
    <col min="3590" max="3590" width="8.85546875" style="856" customWidth="1"/>
    <col min="3591" max="3591" width="10.42578125" style="856" customWidth="1"/>
    <col min="3592" max="3592" width="55.5703125" style="856" bestFit="1" customWidth="1"/>
    <col min="3593" max="3840" width="9" style="856"/>
    <col min="3841" max="3841" width="0" style="856" hidden="1" customWidth="1"/>
    <col min="3842" max="3842" width="7.7109375" style="856" bestFit="1" customWidth="1"/>
    <col min="3843" max="3843" width="31" style="856" bestFit="1" customWidth="1"/>
    <col min="3844" max="3844" width="22.140625" style="856" customWidth="1"/>
    <col min="3845" max="3845" width="29.140625" style="856" bestFit="1" customWidth="1"/>
    <col min="3846" max="3846" width="8.85546875" style="856" customWidth="1"/>
    <col min="3847" max="3847" width="10.42578125" style="856" customWidth="1"/>
    <col min="3848" max="3848" width="55.5703125" style="856" bestFit="1" customWidth="1"/>
    <col min="3849" max="4096" width="9" style="856"/>
    <col min="4097" max="4097" width="0" style="856" hidden="1" customWidth="1"/>
    <col min="4098" max="4098" width="7.7109375" style="856" bestFit="1" customWidth="1"/>
    <col min="4099" max="4099" width="31" style="856" bestFit="1" customWidth="1"/>
    <col min="4100" max="4100" width="22.140625" style="856" customWidth="1"/>
    <col min="4101" max="4101" width="29.140625" style="856" bestFit="1" customWidth="1"/>
    <col min="4102" max="4102" width="8.85546875" style="856" customWidth="1"/>
    <col min="4103" max="4103" width="10.42578125" style="856" customWidth="1"/>
    <col min="4104" max="4104" width="55.5703125" style="856" bestFit="1" customWidth="1"/>
    <col min="4105" max="4352" width="9" style="856"/>
    <col min="4353" max="4353" width="0" style="856" hidden="1" customWidth="1"/>
    <col min="4354" max="4354" width="7.7109375" style="856" bestFit="1" customWidth="1"/>
    <col min="4355" max="4355" width="31" style="856" bestFit="1" customWidth="1"/>
    <col min="4356" max="4356" width="22.140625" style="856" customWidth="1"/>
    <col min="4357" max="4357" width="29.140625" style="856" bestFit="1" customWidth="1"/>
    <col min="4358" max="4358" width="8.85546875" style="856" customWidth="1"/>
    <col min="4359" max="4359" width="10.42578125" style="856" customWidth="1"/>
    <col min="4360" max="4360" width="55.5703125" style="856" bestFit="1" customWidth="1"/>
    <col min="4361" max="4608" width="9" style="856"/>
    <col min="4609" max="4609" width="0" style="856" hidden="1" customWidth="1"/>
    <col min="4610" max="4610" width="7.7109375" style="856" bestFit="1" customWidth="1"/>
    <col min="4611" max="4611" width="31" style="856" bestFit="1" customWidth="1"/>
    <col min="4612" max="4612" width="22.140625" style="856" customWidth="1"/>
    <col min="4613" max="4613" width="29.140625" style="856" bestFit="1" customWidth="1"/>
    <col min="4614" max="4614" width="8.85546875" style="856" customWidth="1"/>
    <col min="4615" max="4615" width="10.42578125" style="856" customWidth="1"/>
    <col min="4616" max="4616" width="55.5703125" style="856" bestFit="1" customWidth="1"/>
    <col min="4617" max="4864" width="9" style="856"/>
    <col min="4865" max="4865" width="0" style="856" hidden="1" customWidth="1"/>
    <col min="4866" max="4866" width="7.7109375" style="856" bestFit="1" customWidth="1"/>
    <col min="4867" max="4867" width="31" style="856" bestFit="1" customWidth="1"/>
    <col min="4868" max="4868" width="22.140625" style="856" customWidth="1"/>
    <col min="4869" max="4869" width="29.140625" style="856" bestFit="1" customWidth="1"/>
    <col min="4870" max="4870" width="8.85546875" style="856" customWidth="1"/>
    <col min="4871" max="4871" width="10.42578125" style="856" customWidth="1"/>
    <col min="4872" max="4872" width="55.5703125" style="856" bestFit="1" customWidth="1"/>
    <col min="4873" max="5120" width="9" style="856"/>
    <col min="5121" max="5121" width="0" style="856" hidden="1" customWidth="1"/>
    <col min="5122" max="5122" width="7.7109375" style="856" bestFit="1" customWidth="1"/>
    <col min="5123" max="5123" width="31" style="856" bestFit="1" customWidth="1"/>
    <col min="5124" max="5124" width="22.140625" style="856" customWidth="1"/>
    <col min="5125" max="5125" width="29.140625" style="856" bestFit="1" customWidth="1"/>
    <col min="5126" max="5126" width="8.85546875" style="856" customWidth="1"/>
    <col min="5127" max="5127" width="10.42578125" style="856" customWidth="1"/>
    <col min="5128" max="5128" width="55.5703125" style="856" bestFit="1" customWidth="1"/>
    <col min="5129" max="5376" width="9" style="856"/>
    <col min="5377" max="5377" width="0" style="856" hidden="1" customWidth="1"/>
    <col min="5378" max="5378" width="7.7109375" style="856" bestFit="1" customWidth="1"/>
    <col min="5379" max="5379" width="31" style="856" bestFit="1" customWidth="1"/>
    <col min="5380" max="5380" width="22.140625" style="856" customWidth="1"/>
    <col min="5381" max="5381" width="29.140625" style="856" bestFit="1" customWidth="1"/>
    <col min="5382" max="5382" width="8.85546875" style="856" customWidth="1"/>
    <col min="5383" max="5383" width="10.42578125" style="856" customWidth="1"/>
    <col min="5384" max="5384" width="55.5703125" style="856" bestFit="1" customWidth="1"/>
    <col min="5385" max="5632" width="9" style="856"/>
    <col min="5633" max="5633" width="0" style="856" hidden="1" customWidth="1"/>
    <col min="5634" max="5634" width="7.7109375" style="856" bestFit="1" customWidth="1"/>
    <col min="5635" max="5635" width="31" style="856" bestFit="1" customWidth="1"/>
    <col min="5636" max="5636" width="22.140625" style="856" customWidth="1"/>
    <col min="5637" max="5637" width="29.140625" style="856" bestFit="1" customWidth="1"/>
    <col min="5638" max="5638" width="8.85546875" style="856" customWidth="1"/>
    <col min="5639" max="5639" width="10.42578125" style="856" customWidth="1"/>
    <col min="5640" max="5640" width="55.5703125" style="856" bestFit="1" customWidth="1"/>
    <col min="5641" max="5888" width="9" style="856"/>
    <col min="5889" max="5889" width="0" style="856" hidden="1" customWidth="1"/>
    <col min="5890" max="5890" width="7.7109375" style="856" bestFit="1" customWidth="1"/>
    <col min="5891" max="5891" width="31" style="856" bestFit="1" customWidth="1"/>
    <col min="5892" max="5892" width="22.140625" style="856" customWidth="1"/>
    <col min="5893" max="5893" width="29.140625" style="856" bestFit="1" customWidth="1"/>
    <col min="5894" max="5894" width="8.85546875" style="856" customWidth="1"/>
    <col min="5895" max="5895" width="10.42578125" style="856" customWidth="1"/>
    <col min="5896" max="5896" width="55.5703125" style="856" bestFit="1" customWidth="1"/>
    <col min="5897" max="6144" width="9" style="856"/>
    <col min="6145" max="6145" width="0" style="856" hidden="1" customWidth="1"/>
    <col min="6146" max="6146" width="7.7109375" style="856" bestFit="1" customWidth="1"/>
    <col min="6147" max="6147" width="31" style="856" bestFit="1" customWidth="1"/>
    <col min="6148" max="6148" width="22.140625" style="856" customWidth="1"/>
    <col min="6149" max="6149" width="29.140625" style="856" bestFit="1" customWidth="1"/>
    <col min="6150" max="6150" width="8.85546875" style="856" customWidth="1"/>
    <col min="6151" max="6151" width="10.42578125" style="856" customWidth="1"/>
    <col min="6152" max="6152" width="55.5703125" style="856" bestFit="1" customWidth="1"/>
    <col min="6153" max="6400" width="9" style="856"/>
    <col min="6401" max="6401" width="0" style="856" hidden="1" customWidth="1"/>
    <col min="6402" max="6402" width="7.7109375" style="856" bestFit="1" customWidth="1"/>
    <col min="6403" max="6403" width="31" style="856" bestFit="1" customWidth="1"/>
    <col min="6404" max="6404" width="22.140625" style="856" customWidth="1"/>
    <col min="6405" max="6405" width="29.140625" style="856" bestFit="1" customWidth="1"/>
    <col min="6406" max="6406" width="8.85546875" style="856" customWidth="1"/>
    <col min="6407" max="6407" width="10.42578125" style="856" customWidth="1"/>
    <col min="6408" max="6408" width="55.5703125" style="856" bestFit="1" customWidth="1"/>
    <col min="6409" max="6656" width="9" style="856"/>
    <col min="6657" max="6657" width="0" style="856" hidden="1" customWidth="1"/>
    <col min="6658" max="6658" width="7.7109375" style="856" bestFit="1" customWidth="1"/>
    <col min="6659" max="6659" width="31" style="856" bestFit="1" customWidth="1"/>
    <col min="6660" max="6660" width="22.140625" style="856" customWidth="1"/>
    <col min="6661" max="6661" width="29.140625" style="856" bestFit="1" customWidth="1"/>
    <col min="6662" max="6662" width="8.85546875" style="856" customWidth="1"/>
    <col min="6663" max="6663" width="10.42578125" style="856" customWidth="1"/>
    <col min="6664" max="6664" width="55.5703125" style="856" bestFit="1" customWidth="1"/>
    <col min="6665" max="6912" width="9" style="856"/>
    <col min="6913" max="6913" width="0" style="856" hidden="1" customWidth="1"/>
    <col min="6914" max="6914" width="7.7109375" style="856" bestFit="1" customWidth="1"/>
    <col min="6915" max="6915" width="31" style="856" bestFit="1" customWidth="1"/>
    <col min="6916" max="6916" width="22.140625" style="856" customWidth="1"/>
    <col min="6917" max="6917" width="29.140625" style="856" bestFit="1" customWidth="1"/>
    <col min="6918" max="6918" width="8.85546875" style="856" customWidth="1"/>
    <col min="6919" max="6919" width="10.42578125" style="856" customWidth="1"/>
    <col min="6920" max="6920" width="55.5703125" style="856" bestFit="1" customWidth="1"/>
    <col min="6921" max="7168" width="9" style="856"/>
    <col min="7169" max="7169" width="0" style="856" hidden="1" customWidth="1"/>
    <col min="7170" max="7170" width="7.7109375" style="856" bestFit="1" customWidth="1"/>
    <col min="7171" max="7171" width="31" style="856" bestFit="1" customWidth="1"/>
    <col min="7172" max="7172" width="22.140625" style="856" customWidth="1"/>
    <col min="7173" max="7173" width="29.140625" style="856" bestFit="1" customWidth="1"/>
    <col min="7174" max="7174" width="8.85546875" style="856" customWidth="1"/>
    <col min="7175" max="7175" width="10.42578125" style="856" customWidth="1"/>
    <col min="7176" max="7176" width="55.5703125" style="856" bestFit="1" customWidth="1"/>
    <col min="7177" max="7424" width="9" style="856"/>
    <col min="7425" max="7425" width="0" style="856" hidden="1" customWidth="1"/>
    <col min="7426" max="7426" width="7.7109375" style="856" bestFit="1" customWidth="1"/>
    <col min="7427" max="7427" width="31" style="856" bestFit="1" customWidth="1"/>
    <col min="7428" max="7428" width="22.140625" style="856" customWidth="1"/>
    <col min="7429" max="7429" width="29.140625" style="856" bestFit="1" customWidth="1"/>
    <col min="7430" max="7430" width="8.85546875" style="856" customWidth="1"/>
    <col min="7431" max="7431" width="10.42578125" style="856" customWidth="1"/>
    <col min="7432" max="7432" width="55.5703125" style="856" bestFit="1" customWidth="1"/>
    <col min="7433" max="7680" width="9" style="856"/>
    <col min="7681" max="7681" width="0" style="856" hidden="1" customWidth="1"/>
    <col min="7682" max="7682" width="7.7109375" style="856" bestFit="1" customWidth="1"/>
    <col min="7683" max="7683" width="31" style="856" bestFit="1" customWidth="1"/>
    <col min="7684" max="7684" width="22.140625" style="856" customWidth="1"/>
    <col min="7685" max="7685" width="29.140625" style="856" bestFit="1" customWidth="1"/>
    <col min="7686" max="7686" width="8.85546875" style="856" customWidth="1"/>
    <col min="7687" max="7687" width="10.42578125" style="856" customWidth="1"/>
    <col min="7688" max="7688" width="55.5703125" style="856" bestFit="1" customWidth="1"/>
    <col min="7689" max="7936" width="9" style="856"/>
    <col min="7937" max="7937" width="0" style="856" hidden="1" customWidth="1"/>
    <col min="7938" max="7938" width="7.7109375" style="856" bestFit="1" customWidth="1"/>
    <col min="7939" max="7939" width="31" style="856" bestFit="1" customWidth="1"/>
    <col min="7940" max="7940" width="22.140625" style="856" customWidth="1"/>
    <col min="7941" max="7941" width="29.140625" style="856" bestFit="1" customWidth="1"/>
    <col min="7942" max="7942" width="8.85546875" style="856" customWidth="1"/>
    <col min="7943" max="7943" width="10.42578125" style="856" customWidth="1"/>
    <col min="7944" max="7944" width="55.5703125" style="856" bestFit="1" customWidth="1"/>
    <col min="7945" max="8192" width="9" style="856"/>
    <col min="8193" max="8193" width="0" style="856" hidden="1" customWidth="1"/>
    <col min="8194" max="8194" width="7.7109375" style="856" bestFit="1" customWidth="1"/>
    <col min="8195" max="8195" width="31" style="856" bestFit="1" customWidth="1"/>
    <col min="8196" max="8196" width="22.140625" style="856" customWidth="1"/>
    <col min="8197" max="8197" width="29.140625" style="856" bestFit="1" customWidth="1"/>
    <col min="8198" max="8198" width="8.85546875" style="856" customWidth="1"/>
    <col min="8199" max="8199" width="10.42578125" style="856" customWidth="1"/>
    <col min="8200" max="8200" width="55.5703125" style="856" bestFit="1" customWidth="1"/>
    <col min="8201" max="8448" width="9" style="856"/>
    <col min="8449" max="8449" width="0" style="856" hidden="1" customWidth="1"/>
    <col min="8450" max="8450" width="7.7109375" style="856" bestFit="1" customWidth="1"/>
    <col min="8451" max="8451" width="31" style="856" bestFit="1" customWidth="1"/>
    <col min="8452" max="8452" width="22.140625" style="856" customWidth="1"/>
    <col min="8453" max="8453" width="29.140625" style="856" bestFit="1" customWidth="1"/>
    <col min="8454" max="8454" width="8.85546875" style="856" customWidth="1"/>
    <col min="8455" max="8455" width="10.42578125" style="856" customWidth="1"/>
    <col min="8456" max="8456" width="55.5703125" style="856" bestFit="1" customWidth="1"/>
    <col min="8457" max="8704" width="9" style="856"/>
    <col min="8705" max="8705" width="0" style="856" hidden="1" customWidth="1"/>
    <col min="8706" max="8706" width="7.7109375" style="856" bestFit="1" customWidth="1"/>
    <col min="8707" max="8707" width="31" style="856" bestFit="1" customWidth="1"/>
    <col min="8708" max="8708" width="22.140625" style="856" customWidth="1"/>
    <col min="8709" max="8709" width="29.140625" style="856" bestFit="1" customWidth="1"/>
    <col min="8710" max="8710" width="8.85546875" style="856" customWidth="1"/>
    <col min="8711" max="8711" width="10.42578125" style="856" customWidth="1"/>
    <col min="8712" max="8712" width="55.5703125" style="856" bestFit="1" customWidth="1"/>
    <col min="8713" max="8960" width="9" style="856"/>
    <col min="8961" max="8961" width="0" style="856" hidden="1" customWidth="1"/>
    <col min="8962" max="8962" width="7.7109375" style="856" bestFit="1" customWidth="1"/>
    <col min="8963" max="8963" width="31" style="856" bestFit="1" customWidth="1"/>
    <col min="8964" max="8964" width="22.140625" style="856" customWidth="1"/>
    <col min="8965" max="8965" width="29.140625" style="856" bestFit="1" customWidth="1"/>
    <col min="8966" max="8966" width="8.85546875" style="856" customWidth="1"/>
    <col min="8967" max="8967" width="10.42578125" style="856" customWidth="1"/>
    <col min="8968" max="8968" width="55.5703125" style="856" bestFit="1" customWidth="1"/>
    <col min="8969" max="9216" width="9" style="856"/>
    <col min="9217" max="9217" width="0" style="856" hidden="1" customWidth="1"/>
    <col min="9218" max="9218" width="7.7109375" style="856" bestFit="1" customWidth="1"/>
    <col min="9219" max="9219" width="31" style="856" bestFit="1" customWidth="1"/>
    <col min="9220" max="9220" width="22.140625" style="856" customWidth="1"/>
    <col min="9221" max="9221" width="29.140625" style="856" bestFit="1" customWidth="1"/>
    <col min="9222" max="9222" width="8.85546875" style="856" customWidth="1"/>
    <col min="9223" max="9223" width="10.42578125" style="856" customWidth="1"/>
    <col min="9224" max="9224" width="55.5703125" style="856" bestFit="1" customWidth="1"/>
    <col min="9225" max="9472" width="9" style="856"/>
    <col min="9473" max="9473" width="0" style="856" hidden="1" customWidth="1"/>
    <col min="9474" max="9474" width="7.7109375" style="856" bestFit="1" customWidth="1"/>
    <col min="9475" max="9475" width="31" style="856" bestFit="1" customWidth="1"/>
    <col min="9476" max="9476" width="22.140625" style="856" customWidth="1"/>
    <col min="9477" max="9477" width="29.140625" style="856" bestFit="1" customWidth="1"/>
    <col min="9478" max="9478" width="8.85546875" style="856" customWidth="1"/>
    <col min="9479" max="9479" width="10.42578125" style="856" customWidth="1"/>
    <col min="9480" max="9480" width="55.5703125" style="856" bestFit="1" customWidth="1"/>
    <col min="9481" max="9728" width="9" style="856"/>
    <col min="9729" max="9729" width="0" style="856" hidden="1" customWidth="1"/>
    <col min="9730" max="9730" width="7.7109375" style="856" bestFit="1" customWidth="1"/>
    <col min="9731" max="9731" width="31" style="856" bestFit="1" customWidth="1"/>
    <col min="9732" max="9732" width="22.140625" style="856" customWidth="1"/>
    <col min="9733" max="9733" width="29.140625" style="856" bestFit="1" customWidth="1"/>
    <col min="9734" max="9734" width="8.85546875" style="856" customWidth="1"/>
    <col min="9735" max="9735" width="10.42578125" style="856" customWidth="1"/>
    <col min="9736" max="9736" width="55.5703125" style="856" bestFit="1" customWidth="1"/>
    <col min="9737" max="9984" width="9" style="856"/>
    <col min="9985" max="9985" width="0" style="856" hidden="1" customWidth="1"/>
    <col min="9986" max="9986" width="7.7109375" style="856" bestFit="1" customWidth="1"/>
    <col min="9987" max="9987" width="31" style="856" bestFit="1" customWidth="1"/>
    <col min="9988" max="9988" width="22.140625" style="856" customWidth="1"/>
    <col min="9989" max="9989" width="29.140625" style="856" bestFit="1" customWidth="1"/>
    <col min="9990" max="9990" width="8.85546875" style="856" customWidth="1"/>
    <col min="9991" max="9991" width="10.42578125" style="856" customWidth="1"/>
    <col min="9992" max="9992" width="55.5703125" style="856" bestFit="1" customWidth="1"/>
    <col min="9993" max="10240" width="9" style="856"/>
    <col min="10241" max="10241" width="0" style="856" hidden="1" customWidth="1"/>
    <col min="10242" max="10242" width="7.7109375" style="856" bestFit="1" customWidth="1"/>
    <col min="10243" max="10243" width="31" style="856" bestFit="1" customWidth="1"/>
    <col min="10244" max="10244" width="22.140625" style="856" customWidth="1"/>
    <col min="10245" max="10245" width="29.140625" style="856" bestFit="1" customWidth="1"/>
    <col min="10246" max="10246" width="8.85546875" style="856" customWidth="1"/>
    <col min="10247" max="10247" width="10.42578125" style="856" customWidth="1"/>
    <col min="10248" max="10248" width="55.5703125" style="856" bestFit="1" customWidth="1"/>
    <col min="10249" max="10496" width="9" style="856"/>
    <col min="10497" max="10497" width="0" style="856" hidden="1" customWidth="1"/>
    <col min="10498" max="10498" width="7.7109375" style="856" bestFit="1" customWidth="1"/>
    <col min="10499" max="10499" width="31" style="856" bestFit="1" customWidth="1"/>
    <col min="10500" max="10500" width="22.140625" style="856" customWidth="1"/>
    <col min="10501" max="10501" width="29.140625" style="856" bestFit="1" customWidth="1"/>
    <col min="10502" max="10502" width="8.85546875" style="856" customWidth="1"/>
    <col min="10503" max="10503" width="10.42578125" style="856" customWidth="1"/>
    <col min="10504" max="10504" width="55.5703125" style="856" bestFit="1" customWidth="1"/>
    <col min="10505" max="10752" width="9" style="856"/>
    <col min="10753" max="10753" width="0" style="856" hidden="1" customWidth="1"/>
    <col min="10754" max="10754" width="7.7109375" style="856" bestFit="1" customWidth="1"/>
    <col min="10755" max="10755" width="31" style="856" bestFit="1" customWidth="1"/>
    <col min="10756" max="10756" width="22.140625" style="856" customWidth="1"/>
    <col min="10757" max="10757" width="29.140625" style="856" bestFit="1" customWidth="1"/>
    <col min="10758" max="10758" width="8.85546875" style="856" customWidth="1"/>
    <col min="10759" max="10759" width="10.42578125" style="856" customWidth="1"/>
    <col min="10760" max="10760" width="55.5703125" style="856" bestFit="1" customWidth="1"/>
    <col min="10761" max="11008" width="9" style="856"/>
    <col min="11009" max="11009" width="0" style="856" hidden="1" customWidth="1"/>
    <col min="11010" max="11010" width="7.7109375" style="856" bestFit="1" customWidth="1"/>
    <col min="11011" max="11011" width="31" style="856" bestFit="1" customWidth="1"/>
    <col min="11012" max="11012" width="22.140625" style="856" customWidth="1"/>
    <col min="11013" max="11013" width="29.140625" style="856" bestFit="1" customWidth="1"/>
    <col min="11014" max="11014" width="8.85546875" style="856" customWidth="1"/>
    <col min="11015" max="11015" width="10.42578125" style="856" customWidth="1"/>
    <col min="11016" max="11016" width="55.5703125" style="856" bestFit="1" customWidth="1"/>
    <col min="11017" max="11264" width="9" style="856"/>
    <col min="11265" max="11265" width="0" style="856" hidden="1" customWidth="1"/>
    <col min="11266" max="11266" width="7.7109375" style="856" bestFit="1" customWidth="1"/>
    <col min="11267" max="11267" width="31" style="856" bestFit="1" customWidth="1"/>
    <col min="11268" max="11268" width="22.140625" style="856" customWidth="1"/>
    <col min="11269" max="11269" width="29.140625" style="856" bestFit="1" customWidth="1"/>
    <col min="11270" max="11270" width="8.85546875" style="856" customWidth="1"/>
    <col min="11271" max="11271" width="10.42578125" style="856" customWidth="1"/>
    <col min="11272" max="11272" width="55.5703125" style="856" bestFit="1" customWidth="1"/>
    <col min="11273" max="11520" width="9" style="856"/>
    <col min="11521" max="11521" width="0" style="856" hidden="1" customWidth="1"/>
    <col min="11522" max="11522" width="7.7109375" style="856" bestFit="1" customWidth="1"/>
    <col min="11523" max="11523" width="31" style="856" bestFit="1" customWidth="1"/>
    <col min="11524" max="11524" width="22.140625" style="856" customWidth="1"/>
    <col min="11525" max="11525" width="29.140625" style="856" bestFit="1" customWidth="1"/>
    <col min="11526" max="11526" width="8.85546875" style="856" customWidth="1"/>
    <col min="11527" max="11527" width="10.42578125" style="856" customWidth="1"/>
    <col min="11528" max="11528" width="55.5703125" style="856" bestFit="1" customWidth="1"/>
    <col min="11529" max="11776" width="9" style="856"/>
    <col min="11777" max="11777" width="0" style="856" hidden="1" customWidth="1"/>
    <col min="11778" max="11778" width="7.7109375" style="856" bestFit="1" customWidth="1"/>
    <col min="11779" max="11779" width="31" style="856" bestFit="1" customWidth="1"/>
    <col min="11780" max="11780" width="22.140625" style="856" customWidth="1"/>
    <col min="11781" max="11781" width="29.140625" style="856" bestFit="1" customWidth="1"/>
    <col min="11782" max="11782" width="8.85546875" style="856" customWidth="1"/>
    <col min="11783" max="11783" width="10.42578125" style="856" customWidth="1"/>
    <col min="11784" max="11784" width="55.5703125" style="856" bestFit="1" customWidth="1"/>
    <col min="11785" max="12032" width="9" style="856"/>
    <col min="12033" max="12033" width="0" style="856" hidden="1" customWidth="1"/>
    <col min="12034" max="12034" width="7.7109375" style="856" bestFit="1" customWidth="1"/>
    <col min="12035" max="12035" width="31" style="856" bestFit="1" customWidth="1"/>
    <col min="12036" max="12036" width="22.140625" style="856" customWidth="1"/>
    <col min="12037" max="12037" width="29.140625" style="856" bestFit="1" customWidth="1"/>
    <col min="12038" max="12038" width="8.85546875" style="856" customWidth="1"/>
    <col min="12039" max="12039" width="10.42578125" style="856" customWidth="1"/>
    <col min="12040" max="12040" width="55.5703125" style="856" bestFit="1" customWidth="1"/>
    <col min="12041" max="12288" width="9" style="856"/>
    <col min="12289" max="12289" width="0" style="856" hidden="1" customWidth="1"/>
    <col min="12290" max="12290" width="7.7109375" style="856" bestFit="1" customWidth="1"/>
    <col min="12291" max="12291" width="31" style="856" bestFit="1" customWidth="1"/>
    <col min="12292" max="12292" width="22.140625" style="856" customWidth="1"/>
    <col min="12293" max="12293" width="29.140625" style="856" bestFit="1" customWidth="1"/>
    <col min="12294" max="12294" width="8.85546875" style="856" customWidth="1"/>
    <col min="12295" max="12295" width="10.42578125" style="856" customWidth="1"/>
    <col min="12296" max="12296" width="55.5703125" style="856" bestFit="1" customWidth="1"/>
    <col min="12297" max="12544" width="9" style="856"/>
    <col min="12545" max="12545" width="0" style="856" hidden="1" customWidth="1"/>
    <col min="12546" max="12546" width="7.7109375" style="856" bestFit="1" customWidth="1"/>
    <col min="12547" max="12547" width="31" style="856" bestFit="1" customWidth="1"/>
    <col min="12548" max="12548" width="22.140625" style="856" customWidth="1"/>
    <col min="12549" max="12549" width="29.140625" style="856" bestFit="1" customWidth="1"/>
    <col min="12550" max="12550" width="8.85546875" style="856" customWidth="1"/>
    <col min="12551" max="12551" width="10.42578125" style="856" customWidth="1"/>
    <col min="12552" max="12552" width="55.5703125" style="856" bestFit="1" customWidth="1"/>
    <col min="12553" max="12800" width="9" style="856"/>
    <col min="12801" max="12801" width="0" style="856" hidden="1" customWidth="1"/>
    <col min="12802" max="12802" width="7.7109375" style="856" bestFit="1" customWidth="1"/>
    <col min="12803" max="12803" width="31" style="856" bestFit="1" customWidth="1"/>
    <col min="12804" max="12804" width="22.140625" style="856" customWidth="1"/>
    <col min="12805" max="12805" width="29.140625" style="856" bestFit="1" customWidth="1"/>
    <col min="12806" max="12806" width="8.85546875" style="856" customWidth="1"/>
    <col min="12807" max="12807" width="10.42578125" style="856" customWidth="1"/>
    <col min="12808" max="12808" width="55.5703125" style="856" bestFit="1" customWidth="1"/>
    <col min="12809" max="13056" width="9" style="856"/>
    <col min="13057" max="13057" width="0" style="856" hidden="1" customWidth="1"/>
    <col min="13058" max="13058" width="7.7109375" style="856" bestFit="1" customWidth="1"/>
    <col min="13059" max="13059" width="31" style="856" bestFit="1" customWidth="1"/>
    <col min="13060" max="13060" width="22.140625" style="856" customWidth="1"/>
    <col min="13061" max="13061" width="29.140625" style="856" bestFit="1" customWidth="1"/>
    <col min="13062" max="13062" width="8.85546875" style="856" customWidth="1"/>
    <col min="13063" max="13063" width="10.42578125" style="856" customWidth="1"/>
    <col min="13064" max="13064" width="55.5703125" style="856" bestFit="1" customWidth="1"/>
    <col min="13065" max="13312" width="9" style="856"/>
    <col min="13313" max="13313" width="0" style="856" hidden="1" customWidth="1"/>
    <col min="13314" max="13314" width="7.7109375" style="856" bestFit="1" customWidth="1"/>
    <col min="13315" max="13315" width="31" style="856" bestFit="1" customWidth="1"/>
    <col min="13316" max="13316" width="22.140625" style="856" customWidth="1"/>
    <col min="13317" max="13317" width="29.140625" style="856" bestFit="1" customWidth="1"/>
    <col min="13318" max="13318" width="8.85546875" style="856" customWidth="1"/>
    <col min="13319" max="13319" width="10.42578125" style="856" customWidth="1"/>
    <col min="13320" max="13320" width="55.5703125" style="856" bestFit="1" customWidth="1"/>
    <col min="13321" max="13568" width="9" style="856"/>
    <col min="13569" max="13569" width="0" style="856" hidden="1" customWidth="1"/>
    <col min="13570" max="13570" width="7.7109375" style="856" bestFit="1" customWidth="1"/>
    <col min="13571" max="13571" width="31" style="856" bestFit="1" customWidth="1"/>
    <col min="13572" max="13572" width="22.140625" style="856" customWidth="1"/>
    <col min="13573" max="13573" width="29.140625" style="856" bestFit="1" customWidth="1"/>
    <col min="13574" max="13574" width="8.85546875" style="856" customWidth="1"/>
    <col min="13575" max="13575" width="10.42578125" style="856" customWidth="1"/>
    <col min="13576" max="13576" width="55.5703125" style="856" bestFit="1" customWidth="1"/>
    <col min="13577" max="13824" width="9" style="856"/>
    <col min="13825" max="13825" width="0" style="856" hidden="1" customWidth="1"/>
    <col min="13826" max="13826" width="7.7109375" style="856" bestFit="1" customWidth="1"/>
    <col min="13827" max="13827" width="31" style="856" bestFit="1" customWidth="1"/>
    <col min="13828" max="13828" width="22.140625" style="856" customWidth="1"/>
    <col min="13829" max="13829" width="29.140625" style="856" bestFit="1" customWidth="1"/>
    <col min="13830" max="13830" width="8.85546875" style="856" customWidth="1"/>
    <col min="13831" max="13831" width="10.42578125" style="856" customWidth="1"/>
    <col min="13832" max="13832" width="55.5703125" style="856" bestFit="1" customWidth="1"/>
    <col min="13833" max="14080" width="9" style="856"/>
    <col min="14081" max="14081" width="0" style="856" hidden="1" customWidth="1"/>
    <col min="14082" max="14082" width="7.7109375" style="856" bestFit="1" customWidth="1"/>
    <col min="14083" max="14083" width="31" style="856" bestFit="1" customWidth="1"/>
    <col min="14084" max="14084" width="22.140625" style="856" customWidth="1"/>
    <col min="14085" max="14085" width="29.140625" style="856" bestFit="1" customWidth="1"/>
    <col min="14086" max="14086" width="8.85546875" style="856" customWidth="1"/>
    <col min="14087" max="14087" width="10.42578125" style="856" customWidth="1"/>
    <col min="14088" max="14088" width="55.5703125" style="856" bestFit="1" customWidth="1"/>
    <col min="14089" max="14336" width="9" style="856"/>
    <col min="14337" max="14337" width="0" style="856" hidden="1" customWidth="1"/>
    <col min="14338" max="14338" width="7.7109375" style="856" bestFit="1" customWidth="1"/>
    <col min="14339" max="14339" width="31" style="856" bestFit="1" customWidth="1"/>
    <col min="14340" max="14340" width="22.140625" style="856" customWidth="1"/>
    <col min="14341" max="14341" width="29.140625" style="856" bestFit="1" customWidth="1"/>
    <col min="14342" max="14342" width="8.85546875" style="856" customWidth="1"/>
    <col min="14343" max="14343" width="10.42578125" style="856" customWidth="1"/>
    <col min="14344" max="14344" width="55.5703125" style="856" bestFit="1" customWidth="1"/>
    <col min="14345" max="14592" width="9" style="856"/>
    <col min="14593" max="14593" width="0" style="856" hidden="1" customWidth="1"/>
    <col min="14594" max="14594" width="7.7109375" style="856" bestFit="1" customWidth="1"/>
    <col min="14595" max="14595" width="31" style="856" bestFit="1" customWidth="1"/>
    <col min="14596" max="14596" width="22.140625" style="856" customWidth="1"/>
    <col min="14597" max="14597" width="29.140625" style="856" bestFit="1" customWidth="1"/>
    <col min="14598" max="14598" width="8.85546875" style="856" customWidth="1"/>
    <col min="14599" max="14599" width="10.42578125" style="856" customWidth="1"/>
    <col min="14600" max="14600" width="55.5703125" style="856" bestFit="1" customWidth="1"/>
    <col min="14601" max="14848" width="9" style="856"/>
    <col min="14849" max="14849" width="0" style="856" hidden="1" customWidth="1"/>
    <col min="14850" max="14850" width="7.7109375" style="856" bestFit="1" customWidth="1"/>
    <col min="14851" max="14851" width="31" style="856" bestFit="1" customWidth="1"/>
    <col min="14852" max="14852" width="22.140625" style="856" customWidth="1"/>
    <col min="14853" max="14853" width="29.140625" style="856" bestFit="1" customWidth="1"/>
    <col min="14854" max="14854" width="8.85546875" style="856" customWidth="1"/>
    <col min="14855" max="14855" width="10.42578125" style="856" customWidth="1"/>
    <col min="14856" max="14856" width="55.5703125" style="856" bestFit="1" customWidth="1"/>
    <col min="14857" max="15104" width="9" style="856"/>
    <col min="15105" max="15105" width="0" style="856" hidden="1" customWidth="1"/>
    <col min="15106" max="15106" width="7.7109375" style="856" bestFit="1" customWidth="1"/>
    <col min="15107" max="15107" width="31" style="856" bestFit="1" customWidth="1"/>
    <col min="15108" max="15108" width="22.140625" style="856" customWidth="1"/>
    <col min="15109" max="15109" width="29.140625" style="856" bestFit="1" customWidth="1"/>
    <col min="15110" max="15110" width="8.85546875" style="856" customWidth="1"/>
    <col min="15111" max="15111" width="10.42578125" style="856" customWidth="1"/>
    <col min="15112" max="15112" width="55.5703125" style="856" bestFit="1" customWidth="1"/>
    <col min="15113" max="15360" width="9" style="856"/>
    <col min="15361" max="15361" width="0" style="856" hidden="1" customWidth="1"/>
    <col min="15362" max="15362" width="7.7109375" style="856" bestFit="1" customWidth="1"/>
    <col min="15363" max="15363" width="31" style="856" bestFit="1" customWidth="1"/>
    <col min="15364" max="15364" width="22.140625" style="856" customWidth="1"/>
    <col min="15365" max="15365" width="29.140625" style="856" bestFit="1" customWidth="1"/>
    <col min="15366" max="15366" width="8.85546875" style="856" customWidth="1"/>
    <col min="15367" max="15367" width="10.42578125" style="856" customWidth="1"/>
    <col min="15368" max="15368" width="55.5703125" style="856" bestFit="1" customWidth="1"/>
    <col min="15369" max="15616" width="9" style="856"/>
    <col min="15617" max="15617" width="0" style="856" hidden="1" customWidth="1"/>
    <col min="15618" max="15618" width="7.7109375" style="856" bestFit="1" customWidth="1"/>
    <col min="15619" max="15619" width="31" style="856" bestFit="1" customWidth="1"/>
    <col min="15620" max="15620" width="22.140625" style="856" customWidth="1"/>
    <col min="15621" max="15621" width="29.140625" style="856" bestFit="1" customWidth="1"/>
    <col min="15622" max="15622" width="8.85546875" style="856" customWidth="1"/>
    <col min="15623" max="15623" width="10.42578125" style="856" customWidth="1"/>
    <col min="15624" max="15624" width="55.5703125" style="856" bestFit="1" customWidth="1"/>
    <col min="15625" max="15872" width="9" style="856"/>
    <col min="15873" max="15873" width="0" style="856" hidden="1" customWidth="1"/>
    <col min="15874" max="15874" width="7.7109375" style="856" bestFit="1" customWidth="1"/>
    <col min="15875" max="15875" width="31" style="856" bestFit="1" customWidth="1"/>
    <col min="15876" max="15876" width="22.140625" style="856" customWidth="1"/>
    <col min="15877" max="15877" width="29.140625" style="856" bestFit="1" customWidth="1"/>
    <col min="15878" max="15878" width="8.85546875" style="856" customWidth="1"/>
    <col min="15879" max="15879" width="10.42578125" style="856" customWidth="1"/>
    <col min="15880" max="15880" width="55.5703125" style="856" bestFit="1" customWidth="1"/>
    <col min="15881" max="16128" width="9" style="856"/>
    <col min="16129" max="16129" width="0" style="856" hidden="1" customWidth="1"/>
    <col min="16130" max="16130" width="7.7109375" style="856" bestFit="1" customWidth="1"/>
    <col min="16131" max="16131" width="31" style="856" bestFit="1" customWidth="1"/>
    <col min="16132" max="16132" width="22.140625" style="856" customWidth="1"/>
    <col min="16133" max="16133" width="29.140625" style="856" bestFit="1" customWidth="1"/>
    <col min="16134" max="16134" width="8.85546875" style="856" customWidth="1"/>
    <col min="16135" max="16135" width="10.42578125" style="856" customWidth="1"/>
    <col min="16136" max="16136" width="55.5703125" style="856" bestFit="1" customWidth="1"/>
    <col min="16137" max="16384" width="9" style="856"/>
  </cols>
  <sheetData>
    <row r="1" spans="1:8" s="845" customFormat="1" ht="12.75" customHeight="1" thickTop="1" x14ac:dyDescent="0.2">
      <c r="A1" s="843"/>
      <c r="B1" s="844"/>
      <c r="C1" s="1311" t="s">
        <v>1406</v>
      </c>
      <c r="D1" s="1311"/>
      <c r="E1" s="1311"/>
      <c r="F1" s="1311"/>
      <c r="G1" s="844"/>
    </row>
    <row r="2" spans="1:8" s="848" customFormat="1" ht="12.75" customHeight="1" thickBot="1" x14ac:dyDescent="0.25">
      <c r="A2" s="846"/>
      <c r="B2" s="847"/>
      <c r="C2" s="1312"/>
      <c r="D2" s="1312"/>
      <c r="E2" s="1312"/>
      <c r="F2" s="1312"/>
      <c r="G2" s="847"/>
    </row>
    <row r="3" spans="1:8" s="849" customFormat="1" thickTop="1" thickBot="1" x14ac:dyDescent="0.25">
      <c r="B3" s="850" t="s">
        <v>1407</v>
      </c>
      <c r="C3" s="851" t="s">
        <v>1408</v>
      </c>
      <c r="D3" s="852" t="s">
        <v>1409</v>
      </c>
      <c r="E3" s="853" t="s">
        <v>1410</v>
      </c>
      <c r="F3" s="854" t="s">
        <v>1411</v>
      </c>
      <c r="G3" s="855" t="s">
        <v>1412</v>
      </c>
      <c r="H3" s="855" t="s">
        <v>1413</v>
      </c>
    </row>
    <row r="4" spans="1:8" hidden="1" thickTop="1" thickBot="1" x14ac:dyDescent="0.25">
      <c r="B4" s="857">
        <v>1</v>
      </c>
      <c r="C4" s="858" t="s">
        <v>1414</v>
      </c>
      <c r="D4" s="859" t="s">
        <v>1415</v>
      </c>
      <c r="E4" s="860" t="s">
        <v>1416</v>
      </c>
      <c r="F4" s="861" t="s">
        <v>1417</v>
      </c>
      <c r="G4" s="862">
        <v>4.8</v>
      </c>
      <c r="H4" s="863" t="s">
        <v>1418</v>
      </c>
    </row>
    <row r="5" spans="1:8" hidden="1" thickTop="1" thickBot="1" x14ac:dyDescent="0.25">
      <c r="B5" s="857">
        <v>2</v>
      </c>
      <c r="C5" s="858" t="s">
        <v>1419</v>
      </c>
      <c r="D5" s="859" t="s">
        <v>1415</v>
      </c>
      <c r="E5" s="860" t="s">
        <v>1416</v>
      </c>
      <c r="F5" s="861" t="s">
        <v>1420</v>
      </c>
      <c r="G5" s="862">
        <v>8</v>
      </c>
      <c r="H5" s="863" t="s">
        <v>1418</v>
      </c>
    </row>
    <row r="6" spans="1:8" hidden="1" thickTop="1" thickBot="1" x14ac:dyDescent="0.25">
      <c r="B6" s="857">
        <v>3</v>
      </c>
      <c r="C6" s="858" t="s">
        <v>1421</v>
      </c>
      <c r="D6" s="859" t="s">
        <v>1415</v>
      </c>
      <c r="E6" s="860" t="s">
        <v>1416</v>
      </c>
      <c r="F6" s="861" t="s">
        <v>1422</v>
      </c>
      <c r="G6" s="862">
        <v>6</v>
      </c>
      <c r="H6" s="863" t="s">
        <v>1418</v>
      </c>
    </row>
    <row r="7" spans="1:8" hidden="1" thickTop="1" thickBot="1" x14ac:dyDescent="0.25">
      <c r="B7" s="857">
        <v>4</v>
      </c>
      <c r="C7" s="858" t="s">
        <v>1423</v>
      </c>
      <c r="D7" s="859" t="s">
        <v>1415</v>
      </c>
      <c r="E7" s="860" t="s">
        <v>1416</v>
      </c>
      <c r="F7" s="861" t="s">
        <v>1424</v>
      </c>
      <c r="G7" s="862">
        <v>12</v>
      </c>
      <c r="H7" s="863" t="s">
        <v>1418</v>
      </c>
    </row>
    <row r="8" spans="1:8" hidden="1" thickTop="1" thickBot="1" x14ac:dyDescent="0.25">
      <c r="B8" s="857">
        <v>5</v>
      </c>
      <c r="C8" s="858" t="s">
        <v>1414</v>
      </c>
      <c r="D8" s="859" t="s">
        <v>1425</v>
      </c>
      <c r="E8" s="860" t="s">
        <v>1426</v>
      </c>
      <c r="F8" s="861" t="s">
        <v>1427</v>
      </c>
      <c r="G8" s="862">
        <v>0.03</v>
      </c>
      <c r="H8" s="863" t="s">
        <v>1418</v>
      </c>
    </row>
    <row r="9" spans="1:8" hidden="1" thickTop="1" thickBot="1" x14ac:dyDescent="0.25">
      <c r="B9" s="857">
        <v>6</v>
      </c>
      <c r="C9" s="858" t="s">
        <v>1428</v>
      </c>
      <c r="D9" s="859" t="s">
        <v>1425</v>
      </c>
      <c r="E9" s="860" t="s">
        <v>1426</v>
      </c>
      <c r="F9" s="861" t="s">
        <v>1429</v>
      </c>
      <c r="G9" s="862">
        <v>3.5000000000000003E-2</v>
      </c>
      <c r="H9" s="863" t="s">
        <v>1418</v>
      </c>
    </row>
    <row r="10" spans="1:8" hidden="1" thickTop="1" thickBot="1" x14ac:dyDescent="0.25">
      <c r="B10" s="857">
        <v>7</v>
      </c>
      <c r="C10" s="858" t="s">
        <v>1430</v>
      </c>
      <c r="D10" s="859" t="s">
        <v>1425</v>
      </c>
      <c r="E10" s="860" t="s">
        <v>1431</v>
      </c>
      <c r="F10" s="861" t="s">
        <v>1432</v>
      </c>
      <c r="G10" s="862">
        <v>7.0000000000000007E-2</v>
      </c>
      <c r="H10" s="863" t="s">
        <v>1418</v>
      </c>
    </row>
    <row r="11" spans="1:8" hidden="1" thickTop="1" thickBot="1" x14ac:dyDescent="0.25">
      <c r="B11" s="857">
        <v>8</v>
      </c>
      <c r="C11" s="858" t="s">
        <v>1414</v>
      </c>
      <c r="D11" s="859" t="s">
        <v>1433</v>
      </c>
      <c r="E11" s="860" t="s">
        <v>1434</v>
      </c>
      <c r="F11" s="861" t="s">
        <v>1429</v>
      </c>
      <c r="G11" s="862">
        <v>0.09</v>
      </c>
      <c r="H11" s="863" t="s">
        <v>1418</v>
      </c>
    </row>
    <row r="12" spans="1:8" hidden="1" thickTop="1" thickBot="1" x14ac:dyDescent="0.25">
      <c r="B12" s="857">
        <v>9</v>
      </c>
      <c r="C12" s="858" t="s">
        <v>1428</v>
      </c>
      <c r="D12" s="859" t="s">
        <v>1433</v>
      </c>
      <c r="E12" s="860" t="s">
        <v>1434</v>
      </c>
      <c r="F12" s="861" t="s">
        <v>1432</v>
      </c>
      <c r="G12" s="862">
        <v>0.19</v>
      </c>
      <c r="H12" s="863" t="s">
        <v>1418</v>
      </c>
    </row>
    <row r="13" spans="1:8" hidden="1" thickTop="1" thickBot="1" x14ac:dyDescent="0.25">
      <c r="B13" s="857">
        <v>10</v>
      </c>
      <c r="C13" s="858" t="s">
        <v>1419</v>
      </c>
      <c r="D13" s="859" t="s">
        <v>1433</v>
      </c>
      <c r="E13" s="860" t="s">
        <v>1434</v>
      </c>
      <c r="F13" s="861" t="s">
        <v>1435</v>
      </c>
      <c r="G13" s="862">
        <v>0.23</v>
      </c>
      <c r="H13" s="863" t="s">
        <v>1418</v>
      </c>
    </row>
    <row r="14" spans="1:8" hidden="1" thickTop="1" thickBot="1" x14ac:dyDescent="0.25">
      <c r="B14" s="857">
        <v>11</v>
      </c>
      <c r="C14" s="858" t="s">
        <v>1430</v>
      </c>
      <c r="D14" s="859" t="s">
        <v>1433</v>
      </c>
      <c r="E14" s="860" t="s">
        <v>1436</v>
      </c>
      <c r="F14" s="861" t="s">
        <v>1437</v>
      </c>
      <c r="G14" s="862">
        <v>2.4</v>
      </c>
      <c r="H14" s="863" t="s">
        <v>1418</v>
      </c>
    </row>
    <row r="15" spans="1:8" hidden="1" thickTop="1" thickBot="1" x14ac:dyDescent="0.25">
      <c r="B15" s="857">
        <v>12</v>
      </c>
      <c r="C15" s="858" t="s">
        <v>1438</v>
      </c>
      <c r="D15" s="859" t="s">
        <v>1438</v>
      </c>
      <c r="E15" s="860" t="s">
        <v>1439</v>
      </c>
      <c r="F15" s="861" t="s">
        <v>1440</v>
      </c>
      <c r="G15" s="862">
        <v>3.7</v>
      </c>
      <c r="H15" s="863"/>
    </row>
    <row r="16" spans="1:8" hidden="1" thickTop="1" thickBot="1" x14ac:dyDescent="0.25">
      <c r="B16" s="857">
        <v>13</v>
      </c>
      <c r="C16" s="858" t="s">
        <v>1441</v>
      </c>
      <c r="D16" s="859" t="s">
        <v>1441</v>
      </c>
      <c r="E16" s="860" t="s">
        <v>1442</v>
      </c>
      <c r="F16" s="861" t="s">
        <v>1427</v>
      </c>
      <c r="G16" s="862">
        <v>0.02</v>
      </c>
      <c r="H16" s="863"/>
    </row>
    <row r="17" spans="2:8" hidden="1" thickTop="1" thickBot="1" x14ac:dyDescent="0.25">
      <c r="B17" s="857">
        <v>14</v>
      </c>
      <c r="C17" s="858" t="s">
        <v>1443</v>
      </c>
      <c r="D17" s="859" t="s">
        <v>1443</v>
      </c>
      <c r="E17" s="860" t="s">
        <v>1444</v>
      </c>
      <c r="F17" s="861" t="s">
        <v>1445</v>
      </c>
      <c r="G17" s="862">
        <v>0.08</v>
      </c>
      <c r="H17" s="863"/>
    </row>
    <row r="18" spans="2:8" hidden="1" thickTop="1" thickBot="1" x14ac:dyDescent="0.25">
      <c r="B18" s="857">
        <v>15</v>
      </c>
      <c r="C18" s="858" t="s">
        <v>1446</v>
      </c>
      <c r="D18" s="859" t="s">
        <v>1446</v>
      </c>
      <c r="E18" s="860" t="s">
        <v>1447</v>
      </c>
      <c r="F18" s="861" t="s">
        <v>1448</v>
      </c>
      <c r="G18" s="862">
        <v>0.11</v>
      </c>
      <c r="H18" s="863"/>
    </row>
    <row r="19" spans="2:8" hidden="1" thickTop="1" thickBot="1" x14ac:dyDescent="0.25">
      <c r="B19" s="857">
        <v>16</v>
      </c>
      <c r="C19" s="858" t="s">
        <v>1449</v>
      </c>
      <c r="D19" s="859" t="s">
        <v>1450</v>
      </c>
      <c r="E19" s="860" t="s">
        <v>1451</v>
      </c>
      <c r="F19" s="861" t="s">
        <v>1452</v>
      </c>
      <c r="G19" s="862">
        <v>32</v>
      </c>
      <c r="H19" s="863"/>
    </row>
    <row r="20" spans="2:8" hidden="1" thickTop="1" thickBot="1" x14ac:dyDescent="0.25">
      <c r="B20" s="857">
        <v>17</v>
      </c>
      <c r="C20" s="858" t="s">
        <v>1453</v>
      </c>
      <c r="D20" s="859" t="s">
        <v>1450</v>
      </c>
      <c r="E20" s="860" t="s">
        <v>1451</v>
      </c>
      <c r="F20" s="861" t="s">
        <v>1424</v>
      </c>
      <c r="G20" s="862">
        <v>4</v>
      </c>
      <c r="H20" s="863"/>
    </row>
    <row r="21" spans="2:8" hidden="1" thickTop="1" thickBot="1" x14ac:dyDescent="0.25">
      <c r="B21" s="857">
        <v>18</v>
      </c>
      <c r="C21" s="858" t="s">
        <v>1454</v>
      </c>
      <c r="D21" s="859" t="s">
        <v>1450</v>
      </c>
      <c r="E21" s="860" t="s">
        <v>1455</v>
      </c>
      <c r="F21" s="861" t="s">
        <v>1456</v>
      </c>
      <c r="G21" s="862"/>
      <c r="H21" s="863"/>
    </row>
    <row r="22" spans="2:8" hidden="1" thickTop="1" thickBot="1" x14ac:dyDescent="0.25">
      <c r="B22" s="857">
        <v>19</v>
      </c>
      <c r="C22" s="858" t="s">
        <v>1449</v>
      </c>
      <c r="D22" s="859" t="s">
        <v>1457</v>
      </c>
      <c r="E22" s="860" t="s">
        <v>1458</v>
      </c>
      <c r="F22" s="861" t="s">
        <v>1459</v>
      </c>
      <c r="G22" s="862">
        <v>10.6</v>
      </c>
      <c r="H22" s="863"/>
    </row>
    <row r="23" spans="2:8" hidden="1" thickTop="1" thickBot="1" x14ac:dyDescent="0.25">
      <c r="B23" s="857">
        <v>20</v>
      </c>
      <c r="C23" s="858" t="s">
        <v>1460</v>
      </c>
      <c r="D23" s="859" t="s">
        <v>1457</v>
      </c>
      <c r="E23" s="860" t="s">
        <v>1461</v>
      </c>
      <c r="F23" s="861" t="s">
        <v>1437</v>
      </c>
      <c r="G23" s="862">
        <v>0.53</v>
      </c>
      <c r="H23" s="863"/>
    </row>
    <row r="24" spans="2:8" hidden="1" thickTop="1" thickBot="1" x14ac:dyDescent="0.25">
      <c r="B24" s="857">
        <v>21</v>
      </c>
      <c r="C24" s="858" t="s">
        <v>1462</v>
      </c>
      <c r="D24" s="859" t="s">
        <v>1463</v>
      </c>
      <c r="E24" s="860" t="s">
        <v>1464</v>
      </c>
      <c r="F24" s="861" t="s">
        <v>1422</v>
      </c>
      <c r="G24" s="862">
        <v>4</v>
      </c>
      <c r="H24" s="863"/>
    </row>
    <row r="25" spans="2:8" hidden="1" thickTop="1" thickBot="1" x14ac:dyDescent="0.25">
      <c r="B25" s="857">
        <v>22</v>
      </c>
      <c r="C25" s="858" t="s">
        <v>1465</v>
      </c>
      <c r="D25" s="859" t="s">
        <v>1463</v>
      </c>
      <c r="E25" s="860" t="s">
        <v>1466</v>
      </c>
      <c r="F25" s="861" t="s">
        <v>1467</v>
      </c>
      <c r="G25" s="862">
        <v>0.28000000000000003</v>
      </c>
      <c r="H25" s="863"/>
    </row>
    <row r="26" spans="2:8" hidden="1" thickTop="1" thickBot="1" x14ac:dyDescent="0.25">
      <c r="B26" s="857">
        <v>23</v>
      </c>
      <c r="C26" s="858" t="s">
        <v>1468</v>
      </c>
      <c r="D26" s="859" t="s">
        <v>1469</v>
      </c>
      <c r="E26" s="860" t="s">
        <v>1470</v>
      </c>
      <c r="F26" s="861" t="s">
        <v>1471</v>
      </c>
      <c r="G26" s="862">
        <v>4</v>
      </c>
      <c r="H26" s="863"/>
    </row>
    <row r="27" spans="2:8" hidden="1" thickTop="1" thickBot="1" x14ac:dyDescent="0.25">
      <c r="B27" s="857">
        <v>24</v>
      </c>
      <c r="C27" s="858" t="s">
        <v>1468</v>
      </c>
      <c r="D27" s="859" t="s">
        <v>1472</v>
      </c>
      <c r="E27" s="860" t="s">
        <v>1473</v>
      </c>
      <c r="F27" s="861" t="s">
        <v>1474</v>
      </c>
      <c r="G27" s="862">
        <v>1.84</v>
      </c>
      <c r="H27" s="863"/>
    </row>
    <row r="28" spans="2:8" hidden="1" thickTop="1" thickBot="1" x14ac:dyDescent="0.25">
      <c r="B28" s="857">
        <v>25</v>
      </c>
      <c r="C28" s="858" t="s">
        <v>1475</v>
      </c>
      <c r="D28" s="859" t="s">
        <v>1463</v>
      </c>
      <c r="E28" s="860" t="s">
        <v>1464</v>
      </c>
      <c r="F28" s="861" t="s">
        <v>1420</v>
      </c>
      <c r="G28" s="862">
        <v>5.3</v>
      </c>
      <c r="H28" s="863"/>
    </row>
    <row r="29" spans="2:8" hidden="1" thickTop="1" thickBot="1" x14ac:dyDescent="0.25">
      <c r="B29" s="857">
        <v>26</v>
      </c>
      <c r="C29" s="858" t="s">
        <v>1475</v>
      </c>
      <c r="D29" s="859" t="s">
        <v>1476</v>
      </c>
      <c r="E29" s="860" t="s">
        <v>1477</v>
      </c>
      <c r="F29" s="861" t="s">
        <v>1420</v>
      </c>
      <c r="G29" s="862">
        <v>8</v>
      </c>
      <c r="H29" s="863"/>
    </row>
    <row r="30" spans="2:8" hidden="1" thickTop="1" thickBot="1" x14ac:dyDescent="0.25">
      <c r="B30" s="857">
        <v>27</v>
      </c>
      <c r="C30" s="858" t="s">
        <v>1478</v>
      </c>
      <c r="D30" s="859" t="s">
        <v>1463</v>
      </c>
      <c r="E30" s="860" t="s">
        <v>1479</v>
      </c>
      <c r="F30" s="861" t="s">
        <v>1480</v>
      </c>
      <c r="G30" s="862">
        <v>9.6</v>
      </c>
      <c r="H30" s="863"/>
    </row>
    <row r="31" spans="2:8" hidden="1" thickTop="1" thickBot="1" x14ac:dyDescent="0.25">
      <c r="B31" s="857">
        <v>28</v>
      </c>
      <c r="C31" s="858" t="s">
        <v>1478</v>
      </c>
      <c r="D31" s="859" t="s">
        <v>1476</v>
      </c>
      <c r="E31" s="860" t="s">
        <v>1481</v>
      </c>
      <c r="F31" s="861" t="s">
        <v>1482</v>
      </c>
      <c r="G31" s="862">
        <v>9.6</v>
      </c>
      <c r="H31" s="863"/>
    </row>
    <row r="32" spans="2:8" hidden="1" thickTop="1" thickBot="1" x14ac:dyDescent="0.25">
      <c r="B32" s="857">
        <v>29</v>
      </c>
      <c r="C32" s="858" t="s">
        <v>1483</v>
      </c>
      <c r="D32" s="859" t="s">
        <v>1463</v>
      </c>
      <c r="E32" s="860" t="s">
        <v>1484</v>
      </c>
      <c r="F32" s="861" t="s">
        <v>1485</v>
      </c>
      <c r="G32" s="862">
        <v>20</v>
      </c>
      <c r="H32" s="863"/>
    </row>
    <row r="33" spans="2:8" hidden="1" thickTop="1" thickBot="1" x14ac:dyDescent="0.25">
      <c r="B33" s="857">
        <v>30</v>
      </c>
      <c r="C33" s="858" t="s">
        <v>1483</v>
      </c>
      <c r="D33" s="859" t="s">
        <v>1476</v>
      </c>
      <c r="E33" s="860" t="s">
        <v>1486</v>
      </c>
      <c r="F33" s="861" t="s">
        <v>1485</v>
      </c>
      <c r="G33" s="862">
        <v>10</v>
      </c>
      <c r="H33" s="863"/>
    </row>
    <row r="34" spans="2:8" hidden="1" thickTop="1" thickBot="1" x14ac:dyDescent="0.25">
      <c r="B34" s="857">
        <v>31</v>
      </c>
      <c r="C34" s="858" t="s">
        <v>1487</v>
      </c>
      <c r="D34" s="859" t="s">
        <v>1463</v>
      </c>
      <c r="E34" s="860" t="s">
        <v>1488</v>
      </c>
      <c r="F34" s="861" t="s">
        <v>1489</v>
      </c>
      <c r="G34" s="862">
        <v>16</v>
      </c>
      <c r="H34" s="863"/>
    </row>
    <row r="35" spans="2:8" hidden="1" thickTop="1" thickBot="1" x14ac:dyDescent="0.25">
      <c r="B35" s="857">
        <v>32</v>
      </c>
      <c r="C35" s="858" t="s">
        <v>1487</v>
      </c>
      <c r="D35" s="859" t="s">
        <v>1476</v>
      </c>
      <c r="E35" s="860" t="s">
        <v>1486</v>
      </c>
      <c r="F35" s="861" t="s">
        <v>1424</v>
      </c>
      <c r="G35" s="862">
        <v>12</v>
      </c>
      <c r="H35" s="863"/>
    </row>
    <row r="36" spans="2:8" hidden="1" thickTop="1" thickBot="1" x14ac:dyDescent="0.25">
      <c r="B36" s="857">
        <v>33</v>
      </c>
      <c r="C36" s="858" t="s">
        <v>1490</v>
      </c>
      <c r="D36" s="859" t="s">
        <v>1463</v>
      </c>
      <c r="E36" s="860" t="s">
        <v>1491</v>
      </c>
      <c r="F36" s="861" t="s">
        <v>1492</v>
      </c>
      <c r="G36" s="862">
        <v>2.7</v>
      </c>
      <c r="H36" s="863"/>
    </row>
    <row r="37" spans="2:8" hidden="1" thickTop="1" thickBot="1" x14ac:dyDescent="0.25">
      <c r="B37" s="857">
        <v>34</v>
      </c>
      <c r="C37" s="858" t="s">
        <v>1490</v>
      </c>
      <c r="D37" s="859" t="s">
        <v>1476</v>
      </c>
      <c r="E37" s="860" t="s">
        <v>1481</v>
      </c>
      <c r="F37" s="861" t="s">
        <v>1493</v>
      </c>
      <c r="G37" s="862">
        <v>8</v>
      </c>
      <c r="H37" s="863"/>
    </row>
    <row r="38" spans="2:8" hidden="1" thickTop="1" thickBot="1" x14ac:dyDescent="0.25">
      <c r="B38" s="857">
        <v>35</v>
      </c>
      <c r="C38" s="858" t="s">
        <v>1494</v>
      </c>
      <c r="D38" s="859" t="s">
        <v>1463</v>
      </c>
      <c r="E38" s="860" t="s">
        <v>1484</v>
      </c>
      <c r="F38" s="861" t="s">
        <v>1495</v>
      </c>
      <c r="G38" s="862">
        <v>10.7</v>
      </c>
      <c r="H38" s="863" t="s">
        <v>1496</v>
      </c>
    </row>
    <row r="39" spans="2:8" hidden="1" thickTop="1" thickBot="1" x14ac:dyDescent="0.25">
      <c r="B39" s="857">
        <v>36</v>
      </c>
      <c r="C39" s="858" t="s">
        <v>1494</v>
      </c>
      <c r="D39" s="859" t="s">
        <v>1476</v>
      </c>
      <c r="E39" s="860" t="s">
        <v>1481</v>
      </c>
      <c r="F39" s="861" t="s">
        <v>1495</v>
      </c>
      <c r="G39" s="862">
        <v>10.7</v>
      </c>
      <c r="H39" s="863"/>
    </row>
    <row r="40" spans="2:8" hidden="1" thickTop="1" thickBot="1" x14ac:dyDescent="0.25">
      <c r="B40" s="857">
        <v>37</v>
      </c>
      <c r="C40" s="858" t="s">
        <v>1497</v>
      </c>
      <c r="D40" s="859" t="s">
        <v>1498</v>
      </c>
      <c r="E40" s="860" t="s">
        <v>1499</v>
      </c>
      <c r="F40" s="861" t="s">
        <v>1467</v>
      </c>
      <c r="G40" s="862">
        <v>0.48</v>
      </c>
      <c r="H40" s="863"/>
    </row>
    <row r="41" spans="2:8" hidden="1" thickTop="1" thickBot="1" x14ac:dyDescent="0.25">
      <c r="B41" s="857">
        <v>38</v>
      </c>
      <c r="C41" s="858" t="s">
        <v>1500</v>
      </c>
      <c r="D41" s="859" t="s">
        <v>1498</v>
      </c>
      <c r="E41" s="860" t="s">
        <v>1501</v>
      </c>
      <c r="F41" s="861" t="s">
        <v>1502</v>
      </c>
      <c r="G41" s="862">
        <v>0.21</v>
      </c>
      <c r="H41" s="863"/>
    </row>
    <row r="42" spans="2:8" hidden="1" thickTop="1" thickBot="1" x14ac:dyDescent="0.25">
      <c r="B42" s="857">
        <v>39</v>
      </c>
      <c r="C42" s="858" t="s">
        <v>1503</v>
      </c>
      <c r="D42" s="859" t="s">
        <v>1498</v>
      </c>
      <c r="E42" s="860" t="s">
        <v>1504</v>
      </c>
      <c r="F42" s="861" t="s">
        <v>1505</v>
      </c>
      <c r="G42" s="862">
        <v>0.2</v>
      </c>
      <c r="H42" s="863"/>
    </row>
    <row r="43" spans="2:8" hidden="1" thickTop="1" thickBot="1" x14ac:dyDescent="0.25">
      <c r="B43" s="857">
        <v>40</v>
      </c>
      <c r="C43" s="858" t="s">
        <v>1506</v>
      </c>
      <c r="D43" s="859" t="s">
        <v>1507</v>
      </c>
      <c r="E43" s="860" t="s">
        <v>1508</v>
      </c>
      <c r="F43" s="861" t="s">
        <v>1509</v>
      </c>
      <c r="G43" s="862">
        <v>0.16</v>
      </c>
      <c r="H43" s="863"/>
    </row>
    <row r="44" spans="2:8" hidden="1" thickTop="1" thickBot="1" x14ac:dyDescent="0.25">
      <c r="B44" s="857">
        <v>41</v>
      </c>
      <c r="C44" s="858" t="s">
        <v>1510</v>
      </c>
      <c r="D44" s="859" t="s">
        <v>1507</v>
      </c>
      <c r="E44" s="860" t="s">
        <v>1511</v>
      </c>
      <c r="F44" s="861" t="s">
        <v>1467</v>
      </c>
      <c r="G44" s="862">
        <v>0.64</v>
      </c>
      <c r="H44" s="863"/>
    </row>
    <row r="45" spans="2:8" hidden="1" thickTop="1" thickBot="1" x14ac:dyDescent="0.25">
      <c r="B45" s="857">
        <v>42</v>
      </c>
      <c r="C45" s="858" t="s">
        <v>1512</v>
      </c>
      <c r="D45" s="859" t="s">
        <v>1513</v>
      </c>
      <c r="E45" s="860" t="s">
        <v>1514</v>
      </c>
      <c r="F45" s="861" t="s">
        <v>1480</v>
      </c>
      <c r="G45" s="862">
        <v>9.6</v>
      </c>
      <c r="H45" s="863"/>
    </row>
    <row r="46" spans="2:8" hidden="1" thickTop="1" thickBot="1" x14ac:dyDescent="0.25">
      <c r="B46" s="857">
        <v>43</v>
      </c>
      <c r="C46" s="858" t="s">
        <v>1515</v>
      </c>
      <c r="D46" s="859" t="s">
        <v>1513</v>
      </c>
      <c r="E46" s="860" t="s">
        <v>1516</v>
      </c>
      <c r="F46" s="861" t="s">
        <v>1517</v>
      </c>
      <c r="G46" s="862">
        <v>1.28</v>
      </c>
      <c r="H46" s="863"/>
    </row>
    <row r="47" spans="2:8" hidden="1" thickTop="1" thickBot="1" x14ac:dyDescent="0.25">
      <c r="B47" s="857">
        <v>44</v>
      </c>
      <c r="C47" s="858" t="s">
        <v>1518</v>
      </c>
      <c r="D47" s="859" t="s">
        <v>1513</v>
      </c>
      <c r="E47" s="860" t="s">
        <v>1519</v>
      </c>
      <c r="F47" s="861" t="s">
        <v>1420</v>
      </c>
      <c r="G47" s="862">
        <v>13.3</v>
      </c>
      <c r="H47" s="863"/>
    </row>
    <row r="48" spans="2:8" hidden="1" thickTop="1" thickBot="1" x14ac:dyDescent="0.25">
      <c r="B48" s="857">
        <v>45</v>
      </c>
      <c r="C48" s="858" t="s">
        <v>1520</v>
      </c>
      <c r="D48" s="859" t="s">
        <v>1521</v>
      </c>
      <c r="E48" s="860" t="s">
        <v>1522</v>
      </c>
      <c r="F48" s="861" t="s">
        <v>1417</v>
      </c>
      <c r="G48" s="862">
        <v>6.4</v>
      </c>
      <c r="H48" s="863"/>
    </row>
    <row r="49" spans="2:8" hidden="1" thickTop="1" thickBot="1" x14ac:dyDescent="0.25">
      <c r="B49" s="857">
        <v>46</v>
      </c>
      <c r="C49" s="858" t="s">
        <v>1523</v>
      </c>
      <c r="D49" s="859" t="s">
        <v>1521</v>
      </c>
      <c r="E49" s="860" t="s">
        <v>1522</v>
      </c>
      <c r="F49" s="861" t="s">
        <v>1440</v>
      </c>
      <c r="G49" s="862">
        <v>4.9000000000000004</v>
      </c>
      <c r="H49" s="863"/>
    </row>
    <row r="50" spans="2:8" hidden="1" thickTop="1" thickBot="1" x14ac:dyDescent="0.25">
      <c r="B50" s="857">
        <v>47</v>
      </c>
      <c r="C50" s="858" t="s">
        <v>1524</v>
      </c>
      <c r="D50" s="859" t="s">
        <v>1521</v>
      </c>
      <c r="E50" s="860" t="s">
        <v>1525</v>
      </c>
      <c r="F50" s="861" t="s">
        <v>1424</v>
      </c>
      <c r="G50" s="862">
        <v>12</v>
      </c>
      <c r="H50" s="863"/>
    </row>
    <row r="51" spans="2:8" thickTop="1" thickBot="1" x14ac:dyDescent="0.25">
      <c r="B51" s="857">
        <v>48</v>
      </c>
      <c r="C51" s="858" t="s">
        <v>1526</v>
      </c>
      <c r="D51" s="859" t="s">
        <v>1527</v>
      </c>
      <c r="E51" s="860" t="s">
        <v>1528</v>
      </c>
      <c r="F51" s="861" t="s">
        <v>1529</v>
      </c>
      <c r="G51" s="862">
        <v>0.3</v>
      </c>
      <c r="H51" s="863"/>
    </row>
    <row r="52" spans="2:8" thickTop="1" thickBot="1" x14ac:dyDescent="0.25">
      <c r="B52" s="857">
        <v>49</v>
      </c>
      <c r="C52" s="858" t="s">
        <v>1530</v>
      </c>
      <c r="D52" s="859" t="s">
        <v>1527</v>
      </c>
      <c r="E52" s="860" t="s">
        <v>1531</v>
      </c>
      <c r="F52" s="861" t="s">
        <v>1532</v>
      </c>
      <c r="G52" s="862">
        <v>0.65</v>
      </c>
      <c r="H52" s="863"/>
    </row>
    <row r="53" spans="2:8" thickTop="1" thickBot="1" x14ac:dyDescent="0.25">
      <c r="B53" s="857">
        <v>50</v>
      </c>
      <c r="C53" s="858" t="s">
        <v>1533</v>
      </c>
      <c r="D53" s="859" t="s">
        <v>1527</v>
      </c>
      <c r="E53" s="860" t="s">
        <v>1534</v>
      </c>
      <c r="F53" s="861" t="s">
        <v>1535</v>
      </c>
      <c r="G53" s="862">
        <v>1.07</v>
      </c>
      <c r="H53" s="863"/>
    </row>
    <row r="54" spans="2:8" thickTop="1" thickBot="1" x14ac:dyDescent="0.25">
      <c r="B54" s="857">
        <v>51</v>
      </c>
      <c r="C54" s="858" t="s">
        <v>1536</v>
      </c>
      <c r="D54" s="859" t="s">
        <v>1527</v>
      </c>
      <c r="E54" s="860" t="s">
        <v>1531</v>
      </c>
      <c r="F54" s="861" t="s">
        <v>1537</v>
      </c>
      <c r="G54" s="862">
        <v>0.63</v>
      </c>
      <c r="H54" s="863"/>
    </row>
    <row r="55" spans="2:8" hidden="1" thickTop="1" thickBot="1" x14ac:dyDescent="0.25">
      <c r="B55" s="857">
        <v>52</v>
      </c>
      <c r="C55" s="858" t="s">
        <v>1538</v>
      </c>
      <c r="D55" s="859" t="s">
        <v>1539</v>
      </c>
      <c r="E55" s="860" t="s">
        <v>1540</v>
      </c>
      <c r="F55" s="861" t="s">
        <v>1541</v>
      </c>
      <c r="G55" s="862">
        <v>2</v>
      </c>
      <c r="H55" s="863" t="s">
        <v>1542</v>
      </c>
    </row>
    <row r="56" spans="2:8" hidden="1" thickTop="1" thickBot="1" x14ac:dyDescent="0.25">
      <c r="B56" s="857">
        <v>53</v>
      </c>
      <c r="C56" s="858" t="s">
        <v>1543</v>
      </c>
      <c r="D56" s="859" t="s">
        <v>1539</v>
      </c>
      <c r="E56" s="860" t="s">
        <v>1534</v>
      </c>
      <c r="F56" s="861" t="s">
        <v>1544</v>
      </c>
      <c r="G56" s="862">
        <v>1</v>
      </c>
      <c r="H56" s="863" t="s">
        <v>1542</v>
      </c>
    </row>
    <row r="57" spans="2:8" hidden="1" thickTop="1" thickBot="1" x14ac:dyDescent="0.25">
      <c r="B57" s="857">
        <v>54</v>
      </c>
      <c r="C57" s="858" t="s">
        <v>1545</v>
      </c>
      <c r="D57" s="859" t="s">
        <v>1546</v>
      </c>
      <c r="E57" s="860" t="s">
        <v>1547</v>
      </c>
      <c r="F57" s="861" t="s">
        <v>1548</v>
      </c>
      <c r="G57" s="862">
        <v>1.6</v>
      </c>
      <c r="H57" s="863"/>
    </row>
    <row r="58" spans="2:8" hidden="1" thickTop="1" thickBot="1" x14ac:dyDescent="0.25">
      <c r="B58" s="857">
        <v>55</v>
      </c>
      <c r="C58" s="858" t="s">
        <v>1549</v>
      </c>
      <c r="D58" s="859" t="s">
        <v>1546</v>
      </c>
      <c r="E58" s="860" t="s">
        <v>1550</v>
      </c>
      <c r="F58" s="861" t="s">
        <v>1551</v>
      </c>
      <c r="G58" s="862">
        <v>1.1200000000000001</v>
      </c>
      <c r="H58" s="863"/>
    </row>
    <row r="59" spans="2:8" hidden="1" thickTop="1" thickBot="1" x14ac:dyDescent="0.25">
      <c r="B59" s="857">
        <v>56</v>
      </c>
      <c r="C59" s="858" t="s">
        <v>1552</v>
      </c>
      <c r="D59" s="859" t="s">
        <v>1546</v>
      </c>
      <c r="E59" s="860" t="s">
        <v>1550</v>
      </c>
      <c r="F59" s="861" t="s">
        <v>1553</v>
      </c>
      <c r="G59" s="862">
        <v>5.6</v>
      </c>
      <c r="H59" s="863"/>
    </row>
    <row r="60" spans="2:8" hidden="1" thickTop="1" thickBot="1" x14ac:dyDescent="0.25">
      <c r="B60" s="857">
        <v>57</v>
      </c>
      <c r="C60" s="858" t="s">
        <v>1554</v>
      </c>
      <c r="D60" s="859" t="s">
        <v>1546</v>
      </c>
      <c r="E60" s="860" t="s">
        <v>1555</v>
      </c>
      <c r="F60" s="861" t="s">
        <v>1556</v>
      </c>
      <c r="G60" s="862">
        <v>6.8</v>
      </c>
      <c r="H60" s="863"/>
    </row>
    <row r="61" spans="2:8" hidden="1" thickTop="1" thickBot="1" x14ac:dyDescent="0.25">
      <c r="B61" s="857">
        <v>58</v>
      </c>
      <c r="C61" s="858" t="s">
        <v>1557</v>
      </c>
      <c r="D61" s="859" t="s">
        <v>1558</v>
      </c>
      <c r="E61" s="860" t="s">
        <v>1559</v>
      </c>
      <c r="F61" s="861" t="s">
        <v>1560</v>
      </c>
      <c r="G61" s="862">
        <v>0.6</v>
      </c>
      <c r="H61" s="863"/>
    </row>
    <row r="62" spans="2:8" hidden="1" thickTop="1" thickBot="1" x14ac:dyDescent="0.25">
      <c r="B62" s="857">
        <v>59</v>
      </c>
      <c r="C62" s="858" t="s">
        <v>1561</v>
      </c>
      <c r="D62" s="859" t="s">
        <v>1558</v>
      </c>
      <c r="E62" s="860" t="s">
        <v>1559</v>
      </c>
      <c r="F62" s="861" t="s">
        <v>1517</v>
      </c>
      <c r="G62" s="862">
        <v>1</v>
      </c>
      <c r="H62" s="863"/>
    </row>
    <row r="63" spans="2:8" hidden="1" thickTop="1" thickBot="1" x14ac:dyDescent="0.25">
      <c r="B63" s="857">
        <v>60</v>
      </c>
      <c r="C63" s="858" t="s">
        <v>1562</v>
      </c>
      <c r="D63" s="859" t="s">
        <v>1563</v>
      </c>
      <c r="E63" s="860" t="s">
        <v>1564</v>
      </c>
      <c r="F63" s="861" t="s">
        <v>1535</v>
      </c>
      <c r="G63" s="862">
        <v>1.2</v>
      </c>
      <c r="H63" s="863"/>
    </row>
    <row r="64" spans="2:8" hidden="1" thickTop="1" thickBot="1" x14ac:dyDescent="0.25">
      <c r="B64" s="857">
        <v>61</v>
      </c>
      <c r="C64" s="858" t="s">
        <v>1565</v>
      </c>
      <c r="D64" s="859" t="s">
        <v>1566</v>
      </c>
      <c r="E64" s="860" t="s">
        <v>1559</v>
      </c>
      <c r="F64" s="861" t="s">
        <v>1548</v>
      </c>
      <c r="G64" s="862">
        <v>1.5</v>
      </c>
      <c r="H64" s="863"/>
    </row>
    <row r="65" spans="2:8" hidden="1" thickTop="1" thickBot="1" x14ac:dyDescent="0.25">
      <c r="B65" s="857">
        <v>62</v>
      </c>
      <c r="C65" s="858" t="s">
        <v>1567</v>
      </c>
      <c r="D65" s="859" t="s">
        <v>1566</v>
      </c>
      <c r="E65" s="860" t="s">
        <v>1559</v>
      </c>
      <c r="F65" s="861" t="s">
        <v>1568</v>
      </c>
      <c r="G65" s="862">
        <v>2</v>
      </c>
      <c r="H65" s="863"/>
    </row>
    <row r="66" spans="2:8" hidden="1" thickTop="1" thickBot="1" x14ac:dyDescent="0.25">
      <c r="B66" s="857">
        <v>63</v>
      </c>
      <c r="C66" s="858" t="s">
        <v>1569</v>
      </c>
      <c r="D66" s="859" t="s">
        <v>1570</v>
      </c>
      <c r="E66" s="860" t="s">
        <v>1464</v>
      </c>
      <c r="F66" s="861" t="s">
        <v>1541</v>
      </c>
      <c r="G66" s="862">
        <v>0.8</v>
      </c>
      <c r="H66" s="863" t="s">
        <v>1571</v>
      </c>
    </row>
    <row r="67" spans="2:8" hidden="1" thickTop="1" thickBot="1" x14ac:dyDescent="0.25">
      <c r="B67" s="857">
        <v>64</v>
      </c>
      <c r="C67" s="858" t="s">
        <v>1572</v>
      </c>
      <c r="D67" s="859" t="s">
        <v>1570</v>
      </c>
      <c r="E67" s="860" t="s">
        <v>1573</v>
      </c>
      <c r="F67" s="861" t="s">
        <v>1541</v>
      </c>
      <c r="G67" s="862">
        <v>0.4</v>
      </c>
      <c r="H67" s="863" t="s">
        <v>1574</v>
      </c>
    </row>
    <row r="68" spans="2:8" hidden="1" thickTop="1" thickBot="1" x14ac:dyDescent="0.25">
      <c r="B68" s="857">
        <v>65</v>
      </c>
      <c r="C68" s="858" t="s">
        <v>1575</v>
      </c>
      <c r="D68" s="859" t="s">
        <v>1570</v>
      </c>
      <c r="E68" s="860" t="s">
        <v>1464</v>
      </c>
      <c r="F68" s="861" t="s">
        <v>1541</v>
      </c>
      <c r="G68" s="862">
        <v>0.8</v>
      </c>
      <c r="H68" s="863" t="s">
        <v>1576</v>
      </c>
    </row>
    <row r="69" spans="2:8" hidden="1" thickTop="1" thickBot="1" x14ac:dyDescent="0.25">
      <c r="B69" s="857">
        <v>66</v>
      </c>
      <c r="C69" s="858" t="s">
        <v>1577</v>
      </c>
      <c r="D69" s="859" t="s">
        <v>1570</v>
      </c>
      <c r="E69" s="860" t="s">
        <v>1578</v>
      </c>
      <c r="F69" s="861" t="s">
        <v>1541</v>
      </c>
      <c r="G69" s="862">
        <v>1.2</v>
      </c>
      <c r="H69" s="863" t="s">
        <v>1579</v>
      </c>
    </row>
    <row r="70" spans="2:8" hidden="1" thickTop="1" thickBot="1" x14ac:dyDescent="0.25">
      <c r="B70" s="857">
        <v>67</v>
      </c>
      <c r="C70" s="858" t="s">
        <v>1580</v>
      </c>
      <c r="D70" s="859" t="s">
        <v>1570</v>
      </c>
      <c r="E70" s="860" t="s">
        <v>1581</v>
      </c>
      <c r="F70" s="861" t="s">
        <v>1541</v>
      </c>
      <c r="G70" s="862">
        <v>0.4</v>
      </c>
      <c r="H70" s="863" t="s">
        <v>1582</v>
      </c>
    </row>
    <row r="71" spans="2:8" hidden="1" thickTop="1" thickBot="1" x14ac:dyDescent="0.25">
      <c r="B71" s="857">
        <v>68</v>
      </c>
      <c r="C71" s="858" t="s">
        <v>1583</v>
      </c>
      <c r="D71" s="859" t="s">
        <v>1584</v>
      </c>
      <c r="E71" s="860" t="s">
        <v>1585</v>
      </c>
      <c r="F71" s="861" t="s">
        <v>1467</v>
      </c>
      <c r="G71" s="862">
        <v>0.24</v>
      </c>
      <c r="H71" s="863" t="s">
        <v>1586</v>
      </c>
    </row>
    <row r="72" spans="2:8" hidden="1" thickTop="1" thickBot="1" x14ac:dyDescent="0.25">
      <c r="B72" s="857">
        <v>69</v>
      </c>
      <c r="C72" s="858" t="s">
        <v>1587</v>
      </c>
      <c r="D72" s="859" t="s">
        <v>1584</v>
      </c>
      <c r="E72" s="860" t="s">
        <v>1588</v>
      </c>
      <c r="F72" s="861" t="s">
        <v>1467</v>
      </c>
      <c r="G72" s="862">
        <v>0.16</v>
      </c>
      <c r="H72" s="863" t="s">
        <v>1586</v>
      </c>
    </row>
    <row r="73" spans="2:8" hidden="1" thickTop="1" thickBot="1" x14ac:dyDescent="0.25">
      <c r="B73" s="857">
        <v>70</v>
      </c>
      <c r="C73" s="858" t="s">
        <v>1589</v>
      </c>
      <c r="D73" s="859" t="s">
        <v>1584</v>
      </c>
      <c r="E73" s="860" t="s">
        <v>1585</v>
      </c>
      <c r="F73" s="861" t="s">
        <v>1467</v>
      </c>
      <c r="G73" s="862">
        <v>0.24</v>
      </c>
      <c r="H73" s="863" t="s">
        <v>1586</v>
      </c>
    </row>
    <row r="74" spans="2:8" hidden="1" thickTop="1" thickBot="1" x14ac:dyDescent="0.25">
      <c r="B74" s="857">
        <v>71</v>
      </c>
      <c r="C74" s="858" t="s">
        <v>1587</v>
      </c>
      <c r="D74" s="859" t="s">
        <v>1584</v>
      </c>
      <c r="E74" s="860" t="s">
        <v>1588</v>
      </c>
      <c r="F74" s="861" t="s">
        <v>1467</v>
      </c>
      <c r="G74" s="862">
        <v>0.16</v>
      </c>
      <c r="H74" s="863" t="s">
        <v>1586</v>
      </c>
    </row>
    <row r="75" spans="2:8" hidden="1" thickTop="1" thickBot="1" x14ac:dyDescent="0.25">
      <c r="B75" s="857">
        <v>72</v>
      </c>
      <c r="C75" s="858" t="s">
        <v>1590</v>
      </c>
      <c r="D75" s="859" t="s">
        <v>1584</v>
      </c>
      <c r="E75" s="860" t="s">
        <v>1591</v>
      </c>
      <c r="F75" s="861" t="s">
        <v>1467</v>
      </c>
      <c r="G75" s="862">
        <v>0.16</v>
      </c>
      <c r="H75" s="863" t="s">
        <v>1586</v>
      </c>
    </row>
    <row r="76" spans="2:8" hidden="1" thickTop="1" thickBot="1" x14ac:dyDescent="0.25">
      <c r="B76" s="857">
        <v>73</v>
      </c>
      <c r="C76" s="858" t="s">
        <v>1592</v>
      </c>
      <c r="D76" s="859" t="s">
        <v>1584</v>
      </c>
      <c r="E76" s="860" t="s">
        <v>1593</v>
      </c>
      <c r="F76" s="861" t="s">
        <v>1467</v>
      </c>
      <c r="G76" s="862">
        <v>0.04</v>
      </c>
      <c r="H76" s="863" t="s">
        <v>1586</v>
      </c>
    </row>
    <row r="77" spans="2:8" hidden="1" thickTop="1" thickBot="1" x14ac:dyDescent="0.25">
      <c r="B77" s="857">
        <v>74</v>
      </c>
      <c r="C77" s="858" t="s">
        <v>1594</v>
      </c>
      <c r="D77" s="859" t="s">
        <v>1584</v>
      </c>
      <c r="E77" s="860" t="s">
        <v>1591</v>
      </c>
      <c r="F77" s="861" t="s">
        <v>1467</v>
      </c>
      <c r="G77" s="862">
        <v>0.16</v>
      </c>
      <c r="H77" s="863" t="s">
        <v>1586</v>
      </c>
    </row>
    <row r="78" spans="2:8" hidden="1" thickTop="1" thickBot="1" x14ac:dyDescent="0.25">
      <c r="B78" s="857">
        <v>75</v>
      </c>
      <c r="C78" s="858" t="s">
        <v>1595</v>
      </c>
      <c r="D78" s="859" t="s">
        <v>1584</v>
      </c>
      <c r="E78" s="860" t="s">
        <v>1591</v>
      </c>
      <c r="F78" s="861" t="s">
        <v>1467</v>
      </c>
      <c r="G78" s="862">
        <v>0.16</v>
      </c>
      <c r="H78" s="863" t="s">
        <v>1586</v>
      </c>
    </row>
    <row r="79" spans="2:8" hidden="1" thickTop="1" thickBot="1" x14ac:dyDescent="0.25">
      <c r="B79" s="857">
        <v>76</v>
      </c>
      <c r="C79" s="858" t="s">
        <v>1596</v>
      </c>
      <c r="D79" s="859" t="s">
        <v>1597</v>
      </c>
      <c r="E79" s="860" t="s">
        <v>1598</v>
      </c>
      <c r="F79" s="861" t="s">
        <v>1553</v>
      </c>
      <c r="G79" s="862">
        <v>6.4</v>
      </c>
      <c r="H79" s="863"/>
    </row>
    <row r="80" spans="2:8" hidden="1" thickTop="1" thickBot="1" x14ac:dyDescent="0.25">
      <c r="B80" s="857">
        <v>77</v>
      </c>
      <c r="C80" s="858" t="s">
        <v>64</v>
      </c>
      <c r="D80" s="859" t="s">
        <v>1597</v>
      </c>
      <c r="E80" s="860" t="s">
        <v>1599</v>
      </c>
      <c r="F80" s="861" t="s">
        <v>1600</v>
      </c>
      <c r="G80" s="862">
        <v>2.4</v>
      </c>
      <c r="H80" s="863"/>
    </row>
    <row r="81" spans="2:8" hidden="1" thickTop="1" thickBot="1" x14ac:dyDescent="0.25">
      <c r="B81" s="857">
        <v>78</v>
      </c>
      <c r="C81" s="858" t="s">
        <v>1601</v>
      </c>
      <c r="D81" s="859" t="s">
        <v>1602</v>
      </c>
      <c r="E81" s="860" t="s">
        <v>1603</v>
      </c>
      <c r="F81" s="861" t="s">
        <v>1556</v>
      </c>
      <c r="G81" s="862">
        <v>4.57</v>
      </c>
      <c r="H81" s="863"/>
    </row>
    <row r="82" spans="2:8" hidden="1" thickTop="1" thickBot="1" x14ac:dyDescent="0.25">
      <c r="B82" s="857">
        <v>79</v>
      </c>
      <c r="C82" s="858" t="s">
        <v>1604</v>
      </c>
      <c r="D82" s="859" t="s">
        <v>1605</v>
      </c>
      <c r="E82" s="860" t="s">
        <v>1606</v>
      </c>
      <c r="F82" s="861" t="s">
        <v>1607</v>
      </c>
      <c r="G82" s="862">
        <v>0.17</v>
      </c>
      <c r="H82" s="863"/>
    </row>
    <row r="83" spans="2:8" hidden="1" thickTop="1" thickBot="1" x14ac:dyDescent="0.25">
      <c r="B83" s="857">
        <v>80</v>
      </c>
      <c r="C83" s="858" t="s">
        <v>1608</v>
      </c>
      <c r="D83" s="859" t="s">
        <v>1605</v>
      </c>
      <c r="E83" s="860" t="s">
        <v>1609</v>
      </c>
      <c r="F83" s="861" t="s">
        <v>1607</v>
      </c>
      <c r="G83" s="862">
        <v>7.0000000000000007E-2</v>
      </c>
      <c r="H83" s="863"/>
    </row>
    <row r="84" spans="2:8" hidden="1" thickTop="1" thickBot="1" x14ac:dyDescent="0.25">
      <c r="B84" s="857">
        <v>81</v>
      </c>
      <c r="C84" s="858" t="s">
        <v>1610</v>
      </c>
      <c r="D84" s="859" t="s">
        <v>1611</v>
      </c>
      <c r="E84" s="860" t="s">
        <v>1612</v>
      </c>
      <c r="F84" s="861" t="s">
        <v>1613</v>
      </c>
      <c r="G84" s="862">
        <v>48</v>
      </c>
      <c r="H84" s="863"/>
    </row>
    <row r="85" spans="2:8" hidden="1" thickTop="1" thickBot="1" x14ac:dyDescent="0.25">
      <c r="B85" s="857">
        <v>82</v>
      </c>
      <c r="C85" s="858" t="s">
        <v>1614</v>
      </c>
      <c r="D85" s="859" t="s">
        <v>1611</v>
      </c>
      <c r="E85" s="860" t="s">
        <v>1612</v>
      </c>
      <c r="F85" s="861" t="s">
        <v>1615</v>
      </c>
      <c r="G85" s="862">
        <v>72</v>
      </c>
      <c r="H85" s="863"/>
    </row>
    <row r="86" spans="2:8" hidden="1" thickTop="1" thickBot="1" x14ac:dyDescent="0.25">
      <c r="B86" s="857">
        <v>83</v>
      </c>
      <c r="C86" s="858" t="s">
        <v>1616</v>
      </c>
      <c r="D86" s="859" t="s">
        <v>1611</v>
      </c>
      <c r="E86" s="860" t="s">
        <v>1612</v>
      </c>
      <c r="F86" s="861" t="s">
        <v>1613</v>
      </c>
      <c r="G86" s="862">
        <v>48</v>
      </c>
      <c r="H86" s="863"/>
    </row>
    <row r="87" spans="2:8" hidden="1" thickTop="1" thickBot="1" x14ac:dyDescent="0.25">
      <c r="B87" s="857">
        <v>84</v>
      </c>
      <c r="C87" s="858" t="s">
        <v>1617</v>
      </c>
      <c r="D87" s="859" t="s">
        <v>1618</v>
      </c>
      <c r="E87" s="860" t="s">
        <v>1619</v>
      </c>
      <c r="F87" s="861" t="s">
        <v>1620</v>
      </c>
      <c r="G87" s="862">
        <v>3.46</v>
      </c>
      <c r="H87" s="863"/>
    </row>
    <row r="88" spans="2:8" hidden="1" thickTop="1" thickBot="1" x14ac:dyDescent="0.25">
      <c r="B88" s="857">
        <v>85</v>
      </c>
      <c r="C88" s="858" t="s">
        <v>1621</v>
      </c>
      <c r="D88" s="859" t="s">
        <v>1618</v>
      </c>
      <c r="E88" s="860" t="s">
        <v>1622</v>
      </c>
      <c r="F88" s="861" t="s">
        <v>1623</v>
      </c>
      <c r="G88" s="862">
        <v>18.7</v>
      </c>
      <c r="H88" s="863"/>
    </row>
    <row r="89" spans="2:8" hidden="1" thickTop="1" thickBot="1" x14ac:dyDescent="0.25">
      <c r="B89" s="857">
        <v>86</v>
      </c>
      <c r="C89" s="858" t="s">
        <v>1624</v>
      </c>
      <c r="D89" s="859" t="s">
        <v>1625</v>
      </c>
      <c r="E89" s="860" t="s">
        <v>1626</v>
      </c>
      <c r="F89" s="861" t="s">
        <v>1627</v>
      </c>
      <c r="G89" s="862">
        <v>2.4</v>
      </c>
      <c r="H89" s="863" t="s">
        <v>1628</v>
      </c>
    </row>
    <row r="90" spans="2:8" hidden="1" thickTop="1" thickBot="1" x14ac:dyDescent="0.25">
      <c r="B90" s="857">
        <v>87</v>
      </c>
      <c r="C90" s="858" t="s">
        <v>1629</v>
      </c>
      <c r="D90" s="859" t="s">
        <v>1625</v>
      </c>
      <c r="E90" s="860" t="s">
        <v>1630</v>
      </c>
      <c r="F90" s="861" t="s">
        <v>1627</v>
      </c>
      <c r="G90" s="862">
        <v>1.9</v>
      </c>
      <c r="H90" s="863" t="s">
        <v>1628</v>
      </c>
    </row>
    <row r="91" spans="2:8" hidden="1" thickTop="1" thickBot="1" x14ac:dyDescent="0.25">
      <c r="B91" s="857">
        <v>88</v>
      </c>
      <c r="C91" s="858" t="s">
        <v>1631</v>
      </c>
      <c r="D91" s="859" t="s">
        <v>1625</v>
      </c>
      <c r="E91" s="860" t="s">
        <v>1630</v>
      </c>
      <c r="F91" s="861" t="s">
        <v>1632</v>
      </c>
      <c r="G91" s="862"/>
      <c r="H91" s="863" t="s">
        <v>1633</v>
      </c>
    </row>
    <row r="92" spans="2:8" hidden="1" thickTop="1" thickBot="1" x14ac:dyDescent="0.25">
      <c r="B92" s="857">
        <v>89</v>
      </c>
      <c r="C92" s="858" t="s">
        <v>1634</v>
      </c>
      <c r="D92" s="859" t="s">
        <v>1625</v>
      </c>
      <c r="E92" s="860" t="s">
        <v>1635</v>
      </c>
      <c r="F92" s="861" t="s">
        <v>1636</v>
      </c>
      <c r="G92" s="862">
        <v>1.51</v>
      </c>
      <c r="H92" s="863" t="s">
        <v>1637</v>
      </c>
    </row>
    <row r="93" spans="2:8" hidden="1" thickTop="1" thickBot="1" x14ac:dyDescent="0.25">
      <c r="B93" s="857">
        <v>90</v>
      </c>
      <c r="C93" s="858" t="s">
        <v>1638</v>
      </c>
      <c r="D93" s="859" t="s">
        <v>1625</v>
      </c>
      <c r="E93" s="860" t="s">
        <v>1639</v>
      </c>
      <c r="F93" s="861" t="s">
        <v>1640</v>
      </c>
      <c r="G93" s="862">
        <v>11.5</v>
      </c>
      <c r="H93" s="863" t="s">
        <v>1641</v>
      </c>
    </row>
    <row r="94" spans="2:8" hidden="1" thickTop="1" thickBot="1" x14ac:dyDescent="0.25">
      <c r="B94" s="857">
        <v>91</v>
      </c>
      <c r="C94" s="858" t="s">
        <v>1642</v>
      </c>
      <c r="D94" s="859" t="s">
        <v>1643</v>
      </c>
      <c r="E94" s="860" t="s">
        <v>1644</v>
      </c>
      <c r="F94" s="861" t="s">
        <v>1645</v>
      </c>
      <c r="G94" s="862">
        <v>0.56999999999999995</v>
      </c>
      <c r="H94" s="863" t="s">
        <v>1646</v>
      </c>
    </row>
    <row r="95" spans="2:8" hidden="1" thickTop="1" thickBot="1" x14ac:dyDescent="0.25">
      <c r="B95" s="857">
        <v>92</v>
      </c>
      <c r="C95" s="858" t="s">
        <v>1647</v>
      </c>
      <c r="D95" s="859" t="s">
        <v>1643</v>
      </c>
      <c r="E95" s="860" t="s">
        <v>1648</v>
      </c>
      <c r="F95" s="861" t="s">
        <v>1649</v>
      </c>
      <c r="G95" s="862">
        <v>0.55000000000000004</v>
      </c>
      <c r="H95" s="863"/>
    </row>
    <row r="96" spans="2:8" hidden="1" thickTop="1" thickBot="1" x14ac:dyDescent="0.25">
      <c r="B96" s="857">
        <v>93</v>
      </c>
      <c r="C96" s="858" t="s">
        <v>1650</v>
      </c>
      <c r="D96" s="859" t="s">
        <v>1643</v>
      </c>
      <c r="E96" s="860" t="s">
        <v>1651</v>
      </c>
      <c r="F96" s="861" t="s">
        <v>1652</v>
      </c>
      <c r="G96" s="862">
        <v>0.13</v>
      </c>
      <c r="H96" s="863" t="s">
        <v>1653</v>
      </c>
    </row>
    <row r="97" spans="2:8" hidden="1" thickTop="1" thickBot="1" x14ac:dyDescent="0.25">
      <c r="B97" s="857">
        <v>94</v>
      </c>
      <c r="C97" s="858" t="s">
        <v>1654</v>
      </c>
      <c r="D97" s="859" t="s">
        <v>1643</v>
      </c>
      <c r="E97" s="860" t="s">
        <v>1655</v>
      </c>
      <c r="F97" s="861" t="s">
        <v>1656</v>
      </c>
      <c r="G97" s="862">
        <v>0.13</v>
      </c>
      <c r="H97" s="863" t="s">
        <v>1657</v>
      </c>
    </row>
    <row r="98" spans="2:8" hidden="1" thickTop="1" thickBot="1" x14ac:dyDescent="0.25">
      <c r="B98" s="857">
        <v>95</v>
      </c>
      <c r="C98" s="858" t="s">
        <v>1658</v>
      </c>
      <c r="D98" s="859" t="s">
        <v>1643</v>
      </c>
      <c r="E98" s="860" t="s">
        <v>1659</v>
      </c>
      <c r="F98" s="861" t="s">
        <v>1660</v>
      </c>
      <c r="G98" s="862">
        <v>3.2000000000000001E-2</v>
      </c>
      <c r="H98" s="863"/>
    </row>
    <row r="99" spans="2:8" hidden="1" thickTop="1" thickBot="1" x14ac:dyDescent="0.25">
      <c r="B99" s="857">
        <v>96</v>
      </c>
      <c r="C99" s="858" t="s">
        <v>1661</v>
      </c>
      <c r="D99" s="859" t="s">
        <v>1643</v>
      </c>
      <c r="E99" s="860" t="s">
        <v>1662</v>
      </c>
      <c r="F99" s="861" t="s">
        <v>1663</v>
      </c>
      <c r="G99" s="862">
        <v>0.11</v>
      </c>
      <c r="H99" s="863" t="s">
        <v>1664</v>
      </c>
    </row>
    <row r="100" spans="2:8" hidden="1" thickTop="1" thickBot="1" x14ac:dyDescent="0.25">
      <c r="B100" s="857">
        <v>97</v>
      </c>
      <c r="C100" s="858" t="s">
        <v>1665</v>
      </c>
      <c r="D100" s="859" t="s">
        <v>1643</v>
      </c>
      <c r="E100" s="860" t="s">
        <v>1666</v>
      </c>
      <c r="F100" s="861" t="s">
        <v>1667</v>
      </c>
      <c r="G100" s="862">
        <v>3.2000000000000001E-2</v>
      </c>
      <c r="H100" s="863"/>
    </row>
    <row r="101" spans="2:8" hidden="1" thickTop="1" thickBot="1" x14ac:dyDescent="0.25">
      <c r="B101" s="857">
        <v>98</v>
      </c>
      <c r="C101" s="864" t="s">
        <v>1668</v>
      </c>
      <c r="D101" s="865" t="s">
        <v>1643</v>
      </c>
      <c r="E101" s="866" t="s">
        <v>1669</v>
      </c>
      <c r="F101" s="867" t="s">
        <v>1670</v>
      </c>
      <c r="G101" s="862">
        <v>0.1</v>
      </c>
      <c r="H101" s="863" t="s">
        <v>1671</v>
      </c>
    </row>
    <row r="102" spans="2:8" ht="13.5" thickTop="1" x14ac:dyDescent="0.2">
      <c r="C102" s="868"/>
      <c r="D102" s="878"/>
      <c r="E102" s="878"/>
      <c r="F102" s="869"/>
    </row>
    <row r="103" spans="2:8" ht="12.75" x14ac:dyDescent="0.2">
      <c r="C103" s="870"/>
      <c r="D103" s="879"/>
      <c r="E103" s="879"/>
      <c r="F103" s="872"/>
    </row>
    <row r="104" spans="2:8" ht="12.75" x14ac:dyDescent="0.2">
      <c r="C104" s="870"/>
      <c r="D104" s="879"/>
      <c r="E104" s="879"/>
      <c r="F104" s="872"/>
    </row>
    <row r="105" spans="2:8" ht="12.75" x14ac:dyDescent="0.2">
      <c r="C105" s="870"/>
      <c r="D105" s="879"/>
      <c r="E105" s="879">
        <v>1000</v>
      </c>
      <c r="F105" s="872"/>
    </row>
    <row r="106" spans="2:8" ht="12.75" x14ac:dyDescent="0.2">
      <c r="C106" s="870"/>
      <c r="D106" s="879"/>
      <c r="E106" s="879"/>
      <c r="F106" s="872"/>
    </row>
    <row r="107" spans="2:8" ht="12.75" x14ac:dyDescent="0.2">
      <c r="C107" s="870"/>
      <c r="D107" s="879"/>
      <c r="E107" s="879"/>
      <c r="F107" s="872"/>
    </row>
    <row r="108" spans="2:8" ht="12.75" x14ac:dyDescent="0.2">
      <c r="C108" s="870"/>
      <c r="D108" s="879"/>
      <c r="E108" s="879"/>
      <c r="F108" s="872"/>
    </row>
    <row r="109" spans="2:8" ht="12.75" x14ac:dyDescent="0.2">
      <c r="C109" s="870"/>
      <c r="D109" s="871"/>
      <c r="E109" s="870"/>
      <c r="F109" s="872"/>
    </row>
    <row r="110" spans="2:8" ht="12.75" x14ac:dyDescent="0.2">
      <c r="C110" s="870"/>
      <c r="D110" s="871"/>
      <c r="E110" s="870"/>
      <c r="F110" s="872"/>
    </row>
    <row r="111" spans="2:8" ht="12.75" x14ac:dyDescent="0.2">
      <c r="C111" s="870"/>
      <c r="D111" s="871"/>
      <c r="E111" s="870"/>
      <c r="F111" s="872"/>
    </row>
    <row r="112" spans="2:8" ht="12.75" x14ac:dyDescent="0.2">
      <c r="C112" s="870"/>
      <c r="D112" s="871"/>
      <c r="E112" s="870"/>
      <c r="F112" s="872"/>
    </row>
    <row r="113" spans="3:6" ht="12.75" x14ac:dyDescent="0.2">
      <c r="C113" s="870"/>
      <c r="D113" s="871"/>
      <c r="E113" s="870"/>
      <c r="F113" s="872"/>
    </row>
    <row r="114" spans="3:6" ht="12.75" x14ac:dyDescent="0.2">
      <c r="C114" s="870"/>
      <c r="D114" s="871"/>
      <c r="E114" s="870"/>
      <c r="F114" s="872"/>
    </row>
    <row r="115" spans="3:6" ht="12.75" x14ac:dyDescent="0.2">
      <c r="C115" s="870"/>
      <c r="D115" s="871"/>
      <c r="E115" s="870"/>
      <c r="F115" s="872"/>
    </row>
    <row r="116" spans="3:6" ht="12.75" x14ac:dyDescent="0.2">
      <c r="C116" s="870"/>
      <c r="D116" s="871"/>
      <c r="E116" s="870"/>
      <c r="F116" s="872"/>
    </row>
    <row r="117" spans="3:6" ht="12.75" x14ac:dyDescent="0.2">
      <c r="C117" s="870"/>
      <c r="D117" s="871"/>
      <c r="E117" s="870"/>
      <c r="F117" s="872"/>
    </row>
    <row r="118" spans="3:6" ht="12.75" x14ac:dyDescent="0.2">
      <c r="C118" s="870"/>
      <c r="D118" s="871"/>
      <c r="E118" s="870"/>
      <c r="F118" s="872"/>
    </row>
    <row r="119" spans="3:6" ht="12.75" x14ac:dyDescent="0.2">
      <c r="C119" s="870"/>
      <c r="D119" s="871"/>
      <c r="E119" s="870"/>
      <c r="F119" s="872"/>
    </row>
    <row r="120" spans="3:6" ht="12.75" x14ac:dyDescent="0.2">
      <c r="C120" s="870"/>
      <c r="D120" s="871"/>
      <c r="E120" s="870"/>
      <c r="F120" s="872"/>
    </row>
    <row r="121" spans="3:6" ht="12.75" x14ac:dyDescent="0.2">
      <c r="C121" s="870"/>
      <c r="D121" s="871"/>
      <c r="E121" s="870"/>
      <c r="F121" s="872"/>
    </row>
    <row r="122" spans="3:6" ht="12.75" x14ac:dyDescent="0.2">
      <c r="C122" s="870"/>
      <c r="D122" s="871"/>
      <c r="E122" s="870"/>
      <c r="F122" s="872"/>
    </row>
    <row r="123" spans="3:6" ht="12.75" x14ac:dyDescent="0.2">
      <c r="C123" s="870"/>
      <c r="D123" s="871"/>
      <c r="E123" s="870"/>
      <c r="F123" s="872"/>
    </row>
    <row r="124" spans="3:6" ht="12.75" x14ac:dyDescent="0.2">
      <c r="C124" s="870"/>
      <c r="D124" s="871"/>
      <c r="E124" s="870"/>
      <c r="F124" s="872"/>
    </row>
    <row r="125" spans="3:6" ht="12.75" x14ac:dyDescent="0.2">
      <c r="C125" s="870"/>
      <c r="D125" s="871"/>
      <c r="E125" s="870"/>
      <c r="F125" s="872"/>
    </row>
    <row r="126" spans="3:6" ht="12.75" x14ac:dyDescent="0.2">
      <c r="C126" s="870"/>
      <c r="D126" s="871"/>
      <c r="E126" s="870"/>
      <c r="F126" s="872"/>
    </row>
    <row r="127" spans="3:6" ht="12.75" x14ac:dyDescent="0.2">
      <c r="C127" s="870"/>
      <c r="D127" s="871"/>
      <c r="E127" s="870"/>
      <c r="F127" s="872"/>
    </row>
    <row r="128" spans="3:6" ht="12.75" x14ac:dyDescent="0.2">
      <c r="C128" s="870"/>
      <c r="D128" s="871"/>
      <c r="E128" s="870"/>
      <c r="F128" s="872"/>
    </row>
    <row r="129" spans="3:6" ht="12.75" x14ac:dyDescent="0.2">
      <c r="C129" s="870"/>
      <c r="D129" s="871"/>
      <c r="E129" s="870"/>
      <c r="F129" s="872"/>
    </row>
    <row r="130" spans="3:6" ht="12.75" x14ac:dyDescent="0.2">
      <c r="C130" s="870"/>
      <c r="D130" s="871"/>
      <c r="E130" s="870"/>
      <c r="F130" s="872"/>
    </row>
    <row r="131" spans="3:6" ht="12.75" x14ac:dyDescent="0.2">
      <c r="C131" s="870"/>
      <c r="D131" s="871"/>
      <c r="E131" s="870"/>
      <c r="F131" s="872"/>
    </row>
    <row r="132" spans="3:6" ht="12.75" x14ac:dyDescent="0.2">
      <c r="C132" s="870"/>
      <c r="D132" s="871"/>
      <c r="E132" s="870"/>
      <c r="F132" s="872"/>
    </row>
    <row r="133" spans="3:6" ht="12.75" x14ac:dyDescent="0.2">
      <c r="C133" s="870"/>
      <c r="D133" s="871"/>
      <c r="E133" s="870"/>
      <c r="F133" s="872"/>
    </row>
    <row r="134" spans="3:6" ht="12.75" x14ac:dyDescent="0.2">
      <c r="C134" s="870"/>
      <c r="D134" s="871"/>
      <c r="E134" s="870"/>
      <c r="F134" s="872"/>
    </row>
    <row r="135" spans="3:6" ht="12.75" x14ac:dyDescent="0.2">
      <c r="C135" s="870"/>
      <c r="D135" s="871"/>
      <c r="E135" s="870"/>
      <c r="F135" s="872"/>
    </row>
    <row r="136" spans="3:6" ht="12.75" x14ac:dyDescent="0.2">
      <c r="C136" s="870"/>
      <c r="D136" s="871"/>
      <c r="E136" s="870"/>
      <c r="F136" s="872"/>
    </row>
    <row r="137" spans="3:6" ht="12.75" x14ac:dyDescent="0.2">
      <c r="C137" s="870"/>
      <c r="D137" s="871"/>
      <c r="E137" s="870"/>
      <c r="F137" s="872"/>
    </row>
    <row r="138" spans="3:6" ht="12.75" x14ac:dyDescent="0.2">
      <c r="C138" s="870"/>
      <c r="D138" s="871"/>
      <c r="E138" s="870"/>
      <c r="F138" s="872"/>
    </row>
    <row r="139" spans="3:6" ht="12.75" x14ac:dyDescent="0.2">
      <c r="C139" s="870"/>
      <c r="D139" s="871"/>
      <c r="E139" s="870"/>
      <c r="F139" s="872"/>
    </row>
    <row r="140" spans="3:6" ht="12.75" x14ac:dyDescent="0.2">
      <c r="C140" s="870"/>
      <c r="D140" s="871"/>
      <c r="E140" s="870"/>
      <c r="F140" s="872"/>
    </row>
    <row r="141" spans="3:6" ht="12.75" x14ac:dyDescent="0.2">
      <c r="C141" s="870"/>
      <c r="D141" s="871"/>
      <c r="E141" s="870"/>
      <c r="F141" s="872"/>
    </row>
    <row r="142" spans="3:6" ht="12.75" x14ac:dyDescent="0.2">
      <c r="C142" s="870"/>
      <c r="D142" s="871"/>
      <c r="E142" s="870"/>
      <c r="F142" s="872"/>
    </row>
    <row r="143" spans="3:6" ht="12.75" x14ac:dyDescent="0.2">
      <c r="C143" s="870"/>
      <c r="D143" s="871"/>
      <c r="E143" s="870"/>
      <c r="F143" s="872"/>
    </row>
    <row r="144" spans="3:6" ht="12.75" x14ac:dyDescent="0.2">
      <c r="C144" s="870"/>
      <c r="D144" s="871"/>
      <c r="E144" s="870"/>
      <c r="F144" s="872"/>
    </row>
    <row r="145" spans="3:6" ht="12.75" x14ac:dyDescent="0.2">
      <c r="C145" s="870"/>
      <c r="D145" s="871"/>
      <c r="E145" s="870"/>
      <c r="F145" s="872"/>
    </row>
    <row r="146" spans="3:6" ht="12.75" x14ac:dyDescent="0.2">
      <c r="C146" s="870"/>
      <c r="D146" s="871"/>
      <c r="E146" s="870"/>
      <c r="F146" s="872"/>
    </row>
    <row r="147" spans="3:6" ht="13.5" thickBot="1" x14ac:dyDescent="0.25">
      <c r="C147" s="873"/>
      <c r="D147" s="874"/>
      <c r="E147" s="875"/>
    </row>
  </sheetData>
  <autoFilter ref="A3:H101" xr:uid="{00000000-0009-0000-0000-000019000000}">
    <filterColumn colId="3">
      <filters>
        <filter val="أعمال بياض داخلى"/>
      </filters>
    </filterColumn>
  </autoFilter>
  <mergeCells count="1">
    <mergeCell ref="C1:F2"/>
  </mergeCells>
  <pageMargins left="0.75" right="0.75" top="1" bottom="1" header="0.5" footer="0.5"/>
  <pageSetup paperSize="9" orientation="portrait" horizontalDpi="0" verticalDpi="0"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
  <sheetViews>
    <sheetView rightToLeft="1" workbookViewId="0">
      <selection activeCell="A3" sqref="A3"/>
    </sheetView>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79998168889431442"/>
    <pageSetUpPr fitToPage="1"/>
  </sheetPr>
  <dimension ref="A1:L108"/>
  <sheetViews>
    <sheetView rightToLeft="1" zoomScale="50" zoomScaleNormal="50" zoomScaleSheetLayoutView="90" workbookViewId="0">
      <pane ySplit="1" topLeftCell="A2" activePane="bottomLeft" state="frozen"/>
      <selection pane="bottomLeft" activeCell="J15" sqref="J15:J18"/>
    </sheetView>
  </sheetViews>
  <sheetFormatPr defaultColWidth="9" defaultRowHeight="33" x14ac:dyDescent="0.4"/>
  <cols>
    <col min="1" max="1" width="3.85546875" style="157" customWidth="1"/>
    <col min="2" max="2" width="7.28515625" style="157" customWidth="1"/>
    <col min="3" max="3" width="54.85546875" style="343" customWidth="1"/>
    <col min="4" max="4" width="11.42578125" style="165" customWidth="1"/>
    <col min="5" max="5" width="23.7109375" style="159" customWidth="1"/>
    <col min="6" max="6" width="11.42578125" style="166" customWidth="1"/>
    <col min="7" max="7" width="10.7109375" style="166" customWidth="1"/>
    <col min="8" max="8" width="14.5703125" style="166" customWidth="1"/>
    <col min="9" max="9" width="14.42578125" style="166" customWidth="1"/>
    <col min="10" max="10" width="18.5703125" style="167" customWidth="1"/>
    <col min="11" max="11" width="15.85546875" style="158" customWidth="1"/>
    <col min="12" max="12" width="55.140625" style="158" customWidth="1"/>
    <col min="13" max="13" width="25.28515625" style="158" customWidth="1"/>
    <col min="14" max="16384" width="9" style="158"/>
  </cols>
  <sheetData>
    <row r="1" spans="1:12" ht="42.75" customHeight="1" x14ac:dyDescent="0.4">
      <c r="B1" s="940">
        <f>'اسعار الخامات'!B1:E1</f>
        <v>0</v>
      </c>
      <c r="C1" s="940"/>
      <c r="D1" s="940"/>
      <c r="E1" s="940"/>
      <c r="F1" s="940"/>
      <c r="G1" s="940"/>
      <c r="H1" s="940"/>
      <c r="I1" s="940"/>
      <c r="J1" s="940"/>
    </row>
    <row r="2" spans="1:12" ht="52.5" customHeight="1" thickBot="1" x14ac:dyDescent="0.45">
      <c r="A2" s="169"/>
      <c r="B2" s="231"/>
      <c r="C2" s="351"/>
      <c r="D2" s="943" t="s">
        <v>504</v>
      </c>
      <c r="E2" s="943"/>
      <c r="F2" s="943"/>
      <c r="G2" s="231"/>
      <c r="H2" s="231"/>
      <c r="I2" s="231"/>
      <c r="J2" s="231"/>
    </row>
    <row r="3" spans="1:12" ht="52.5" customHeight="1" thickBot="1" x14ac:dyDescent="0.45">
      <c r="A3" s="159"/>
      <c r="B3" s="246" t="s">
        <v>0</v>
      </c>
      <c r="C3" s="348" t="s">
        <v>1</v>
      </c>
      <c r="D3" s="941" t="s">
        <v>2</v>
      </c>
      <c r="E3" s="941"/>
      <c r="F3" s="246" t="s">
        <v>3</v>
      </c>
      <c r="G3" s="246" t="s">
        <v>4</v>
      </c>
      <c r="H3" s="246" t="s">
        <v>5</v>
      </c>
      <c r="I3" s="246" t="s">
        <v>6</v>
      </c>
      <c r="J3" s="160" t="s">
        <v>7</v>
      </c>
      <c r="K3" s="380" t="s">
        <v>1171</v>
      </c>
    </row>
    <row r="4" spans="1:12" ht="31.5" customHeight="1" thickBot="1" x14ac:dyDescent="0.45">
      <c r="B4" s="932" t="s">
        <v>500</v>
      </c>
      <c r="C4" s="282" t="s">
        <v>17</v>
      </c>
      <c r="D4" s="935" t="s">
        <v>14</v>
      </c>
      <c r="E4" s="161" t="s">
        <v>18</v>
      </c>
      <c r="F4" s="162" t="s">
        <v>19</v>
      </c>
      <c r="G4" s="152">
        <f>'اسعار الخامات'!E7</f>
        <v>650</v>
      </c>
      <c r="H4" s="162">
        <v>0.25</v>
      </c>
      <c r="I4" s="163">
        <v>0.05</v>
      </c>
      <c r="J4" s="164">
        <f>G4*H4+(G4*H4*I4)</f>
        <v>170.625</v>
      </c>
    </row>
    <row r="5" spans="1:12" ht="67.5" customHeight="1" x14ac:dyDescent="0.4">
      <c r="B5" s="933"/>
      <c r="C5" s="282" t="s">
        <v>20</v>
      </c>
      <c r="D5" s="935"/>
      <c r="E5" s="161" t="s">
        <v>21</v>
      </c>
      <c r="F5" s="162" t="s">
        <v>12</v>
      </c>
      <c r="G5" s="152">
        <f>'اسعار الخامات'!E8</f>
        <v>35</v>
      </c>
      <c r="H5" s="162">
        <v>0.4</v>
      </c>
      <c r="I5" s="163">
        <v>0.1</v>
      </c>
      <c r="J5" s="883">
        <f t="shared" ref="J5:J11" si="0">G5*H5+(G5*H5*I5)</f>
        <v>15.4</v>
      </c>
      <c r="L5" s="312" t="s">
        <v>934</v>
      </c>
    </row>
    <row r="6" spans="1:12" ht="67.5" customHeight="1" x14ac:dyDescent="0.4">
      <c r="B6" s="933"/>
      <c r="C6" s="282" t="s">
        <v>22</v>
      </c>
      <c r="D6" s="935"/>
      <c r="E6" s="161" t="s">
        <v>23</v>
      </c>
      <c r="F6" s="162" t="s">
        <v>12</v>
      </c>
      <c r="G6" s="152">
        <f>'اسعار الخامات'!E10</f>
        <v>86</v>
      </c>
      <c r="H6" s="162">
        <v>0.8</v>
      </c>
      <c r="I6" s="163">
        <v>0.1</v>
      </c>
      <c r="J6" s="883">
        <f t="shared" si="0"/>
        <v>75.679999999999993</v>
      </c>
      <c r="L6" s="316" t="s">
        <v>935</v>
      </c>
    </row>
    <row r="7" spans="1:12" ht="67.5" customHeight="1" x14ac:dyDescent="0.4">
      <c r="B7" s="933"/>
      <c r="C7" s="282" t="s">
        <v>24</v>
      </c>
      <c r="D7" s="935"/>
      <c r="E7" s="161" t="s">
        <v>15</v>
      </c>
      <c r="F7" s="162" t="s">
        <v>12</v>
      </c>
      <c r="G7" s="152">
        <f>'اسعار الخامات'!E12</f>
        <v>13</v>
      </c>
      <c r="H7" s="162">
        <v>1.75</v>
      </c>
      <c r="I7" s="163">
        <v>0.1</v>
      </c>
      <c r="J7" s="883">
        <f t="shared" si="0"/>
        <v>25.024999999999999</v>
      </c>
      <c r="L7" s="316" t="s">
        <v>936</v>
      </c>
    </row>
    <row r="8" spans="1:12" x14ac:dyDescent="0.4">
      <c r="B8" s="933"/>
      <c r="C8" s="282" t="s">
        <v>25</v>
      </c>
      <c r="D8" s="935" t="s">
        <v>11</v>
      </c>
      <c r="E8" s="161" t="s">
        <v>191</v>
      </c>
      <c r="F8" s="162" t="s">
        <v>12</v>
      </c>
      <c r="G8" s="152">
        <f>'اسعار المصنعيات'!D5</f>
        <v>76.5</v>
      </c>
      <c r="H8" s="162">
        <v>1</v>
      </c>
      <c r="I8" s="162">
        <v>0</v>
      </c>
      <c r="J8" s="883">
        <f t="shared" si="0"/>
        <v>76.5</v>
      </c>
    </row>
    <row r="9" spans="1:12" x14ac:dyDescent="0.4">
      <c r="B9" s="933"/>
      <c r="C9" s="282" t="s">
        <v>26</v>
      </c>
      <c r="D9" s="935"/>
      <c r="E9" s="161" t="s">
        <v>129</v>
      </c>
      <c r="F9" s="162" t="s">
        <v>12</v>
      </c>
      <c r="G9" s="152">
        <v>1</v>
      </c>
      <c r="H9" s="162">
        <v>1</v>
      </c>
      <c r="I9" s="162"/>
      <c r="J9" s="883">
        <f t="shared" si="0"/>
        <v>1</v>
      </c>
    </row>
    <row r="10" spans="1:12" x14ac:dyDescent="0.4">
      <c r="B10" s="933"/>
      <c r="C10" s="282" t="s">
        <v>27</v>
      </c>
      <c r="D10" s="935"/>
      <c r="E10" s="161" t="s">
        <v>263</v>
      </c>
      <c r="F10" s="162" t="s">
        <v>12</v>
      </c>
      <c r="G10" s="152">
        <f>'اسعار الخامات'!E12</f>
        <v>13</v>
      </c>
      <c r="H10" s="162">
        <v>0.5</v>
      </c>
      <c r="I10" s="162">
        <v>0</v>
      </c>
      <c r="J10" s="883">
        <f t="shared" si="0"/>
        <v>6.5</v>
      </c>
    </row>
    <row r="11" spans="1:12" ht="27" customHeight="1" x14ac:dyDescent="0.4">
      <c r="B11" s="934"/>
      <c r="C11" s="282"/>
      <c r="D11" s="935"/>
      <c r="E11" s="161" t="s">
        <v>178</v>
      </c>
      <c r="F11" s="162" t="s">
        <v>12</v>
      </c>
      <c r="G11" s="152">
        <v>1</v>
      </c>
      <c r="H11" s="162">
        <v>1</v>
      </c>
      <c r="I11" s="162"/>
      <c r="J11" s="883">
        <f t="shared" si="0"/>
        <v>1</v>
      </c>
    </row>
    <row r="12" spans="1:12" ht="34.5" customHeight="1" x14ac:dyDescent="0.4">
      <c r="A12" s="170"/>
      <c r="B12" s="936" t="s">
        <v>13</v>
      </c>
      <c r="C12" s="936"/>
      <c r="D12" s="936"/>
      <c r="E12" s="936"/>
      <c r="F12" s="936"/>
      <c r="G12" s="936"/>
      <c r="H12" s="936"/>
      <c r="I12" s="936"/>
      <c r="J12" s="382">
        <f>SUM(J4:J11)</f>
        <v>371.72999999999996</v>
      </c>
    </row>
    <row r="13" spans="1:12" ht="22.5" customHeight="1" x14ac:dyDescent="0.4">
      <c r="A13" s="158"/>
      <c r="B13" s="158"/>
      <c r="C13" s="346"/>
      <c r="D13" s="158"/>
      <c r="E13" s="158"/>
      <c r="F13" s="158"/>
      <c r="G13" s="158"/>
      <c r="H13" s="158"/>
      <c r="I13" s="158"/>
      <c r="J13" s="158"/>
    </row>
    <row r="14" spans="1:12" ht="52.5" customHeight="1" x14ac:dyDescent="0.4">
      <c r="A14" s="159"/>
      <c r="B14" s="246" t="s">
        <v>0</v>
      </c>
      <c r="C14" s="348" t="s">
        <v>1</v>
      </c>
      <c r="D14" s="941" t="s">
        <v>2</v>
      </c>
      <c r="E14" s="941"/>
      <c r="F14" s="246" t="s">
        <v>3</v>
      </c>
      <c r="G14" s="246" t="s">
        <v>4</v>
      </c>
      <c r="H14" s="246" t="s">
        <v>5</v>
      </c>
      <c r="I14" s="246" t="s">
        <v>6</v>
      </c>
      <c r="J14" s="160" t="s">
        <v>7</v>
      </c>
    </row>
    <row r="15" spans="1:12" ht="29.25" customHeight="1" x14ac:dyDescent="0.4">
      <c r="B15" s="932" t="s">
        <v>501</v>
      </c>
      <c r="C15" s="354" t="s">
        <v>454</v>
      </c>
      <c r="D15" s="935" t="s">
        <v>14</v>
      </c>
      <c r="E15" s="937" t="s">
        <v>291</v>
      </c>
      <c r="F15" s="938" t="s">
        <v>12</v>
      </c>
      <c r="G15" s="935">
        <f>'اسعار الخامات'!E5</f>
        <v>310</v>
      </c>
      <c r="H15" s="939">
        <v>1</v>
      </c>
      <c r="I15" s="930">
        <v>0.1</v>
      </c>
      <c r="J15" s="931">
        <f>G15*H15+(G15*H15*I15)</f>
        <v>341</v>
      </c>
    </row>
    <row r="16" spans="1:12" x14ac:dyDescent="0.4">
      <c r="B16" s="933"/>
      <c r="C16" s="282" t="s">
        <v>17</v>
      </c>
      <c r="D16" s="935"/>
      <c r="E16" s="937"/>
      <c r="F16" s="938"/>
      <c r="G16" s="935"/>
      <c r="H16" s="939"/>
      <c r="I16" s="930"/>
      <c r="J16" s="931"/>
    </row>
    <row r="17" spans="1:11" x14ac:dyDescent="0.4">
      <c r="B17" s="933"/>
      <c r="C17" s="282" t="s">
        <v>20</v>
      </c>
      <c r="D17" s="935"/>
      <c r="E17" s="937"/>
      <c r="F17" s="938"/>
      <c r="G17" s="935"/>
      <c r="H17" s="939"/>
      <c r="I17" s="930"/>
      <c r="J17" s="931"/>
    </row>
    <row r="18" spans="1:11" x14ac:dyDescent="0.4">
      <c r="B18" s="933"/>
      <c r="C18" s="282" t="s">
        <v>22</v>
      </c>
      <c r="D18" s="935"/>
      <c r="E18" s="937"/>
      <c r="F18" s="938"/>
      <c r="G18" s="935"/>
      <c r="H18" s="939"/>
      <c r="I18" s="930"/>
      <c r="J18" s="931"/>
    </row>
    <row r="19" spans="1:11" x14ac:dyDescent="0.4">
      <c r="B19" s="933"/>
      <c r="C19" s="282" t="s">
        <v>24</v>
      </c>
      <c r="D19" s="935" t="s">
        <v>11</v>
      </c>
      <c r="E19" s="161" t="s">
        <v>191</v>
      </c>
      <c r="F19" s="162" t="s">
        <v>12</v>
      </c>
      <c r="G19" s="152">
        <f>'اسعار المصنعيات'!D5</f>
        <v>76.5</v>
      </c>
      <c r="H19" s="162">
        <v>1</v>
      </c>
      <c r="I19" s="162">
        <v>0</v>
      </c>
      <c r="J19" s="164">
        <f>H19*G19</f>
        <v>76.5</v>
      </c>
    </row>
    <row r="20" spans="1:11" x14ac:dyDescent="0.4">
      <c r="B20" s="933"/>
      <c r="C20" s="282" t="s">
        <v>25</v>
      </c>
      <c r="D20" s="935"/>
      <c r="E20" s="161" t="s">
        <v>129</v>
      </c>
      <c r="F20" s="162" t="s">
        <v>12</v>
      </c>
      <c r="G20" s="152">
        <v>1</v>
      </c>
      <c r="H20" s="162">
        <v>1</v>
      </c>
      <c r="I20" s="162"/>
      <c r="J20" s="164">
        <f>H20*G20</f>
        <v>1</v>
      </c>
    </row>
    <row r="21" spans="1:11" x14ac:dyDescent="0.4">
      <c r="B21" s="933"/>
      <c r="C21" s="282" t="s">
        <v>26</v>
      </c>
      <c r="D21" s="935"/>
      <c r="E21" s="161" t="s">
        <v>263</v>
      </c>
      <c r="F21" s="162" t="s">
        <v>12</v>
      </c>
      <c r="G21" s="152">
        <f>'اسعار الخامات'!E12</f>
        <v>13</v>
      </c>
      <c r="H21" s="162">
        <v>0.5</v>
      </c>
      <c r="I21" s="162">
        <v>0</v>
      </c>
      <c r="J21" s="164">
        <f>H21*G21</f>
        <v>6.5</v>
      </c>
    </row>
    <row r="22" spans="1:11" x14ac:dyDescent="0.4">
      <c r="B22" s="934"/>
      <c r="C22" s="282" t="s">
        <v>27</v>
      </c>
      <c r="D22" s="935"/>
      <c r="E22" s="161" t="s">
        <v>178</v>
      </c>
      <c r="F22" s="162" t="s">
        <v>12</v>
      </c>
      <c r="G22" s="152">
        <v>1</v>
      </c>
      <c r="H22" s="162">
        <v>1</v>
      </c>
      <c r="I22" s="162"/>
      <c r="J22" s="164">
        <v>1</v>
      </c>
    </row>
    <row r="23" spans="1:11" ht="34.5" customHeight="1" x14ac:dyDescent="0.4">
      <c r="A23" s="248"/>
      <c r="B23" s="936" t="s">
        <v>13</v>
      </c>
      <c r="C23" s="936"/>
      <c r="D23" s="936"/>
      <c r="E23" s="936"/>
      <c r="F23" s="936"/>
      <c r="G23" s="936"/>
      <c r="H23" s="936"/>
      <c r="I23" s="936"/>
      <c r="J23" s="382">
        <f>SUM(J15:J22)</f>
        <v>426</v>
      </c>
      <c r="K23" s="382">
        <f>J23*1.25</f>
        <v>532.5</v>
      </c>
    </row>
    <row r="24" spans="1:11" ht="66" hidden="1" x14ac:dyDescent="0.4">
      <c r="B24" s="155">
        <v>2</v>
      </c>
      <c r="C24" s="282" t="s">
        <v>257</v>
      </c>
      <c r="D24" s="942" t="s">
        <v>14</v>
      </c>
      <c r="E24" s="161" t="s">
        <v>18</v>
      </c>
      <c r="F24" s="162" t="s">
        <v>19</v>
      </c>
      <c r="G24" s="171">
        <f>'اسعار الخامات'!E7</f>
        <v>650</v>
      </c>
      <c r="H24" s="172">
        <f>0.2/6.66</f>
        <v>3.003003003003003E-2</v>
      </c>
      <c r="I24" s="163">
        <v>0.05</v>
      </c>
      <c r="J24" s="164">
        <f>G24*H24+(G24*H24*I24)</f>
        <v>20.495495495495497</v>
      </c>
    </row>
    <row r="25" spans="1:11" ht="66" hidden="1" x14ac:dyDescent="0.4">
      <c r="B25" s="155"/>
      <c r="C25" s="282" t="s">
        <v>258</v>
      </c>
      <c r="D25" s="942"/>
      <c r="E25" s="161" t="s">
        <v>21</v>
      </c>
      <c r="F25" s="162" t="s">
        <v>12</v>
      </c>
      <c r="G25" s="171">
        <f>'اسعار الخامات'!E8</f>
        <v>35</v>
      </c>
      <c r="H25" s="172">
        <f>0.4/6.66</f>
        <v>6.006006006006006E-2</v>
      </c>
      <c r="I25" s="163">
        <v>0.1</v>
      </c>
      <c r="J25" s="164">
        <f>G25*H25+(G25*H25*I25)</f>
        <v>2.3123123123123124</v>
      </c>
    </row>
    <row r="26" spans="1:11" hidden="1" x14ac:dyDescent="0.4">
      <c r="B26" s="155"/>
      <c r="C26" s="282" t="s">
        <v>28</v>
      </c>
      <c r="D26" s="942"/>
      <c r="E26" s="161" t="s">
        <v>23</v>
      </c>
      <c r="F26" s="162" t="s">
        <v>12</v>
      </c>
      <c r="G26" s="171">
        <f>'اسعار الخامات'!E10</f>
        <v>86</v>
      </c>
      <c r="H26" s="172">
        <f>0.8/6.66</f>
        <v>0.12012012012012012</v>
      </c>
      <c r="I26" s="163">
        <v>0.1</v>
      </c>
      <c r="J26" s="164">
        <f>G26*H26+(G26*H26*I26)</f>
        <v>11.363363363363364</v>
      </c>
    </row>
    <row r="27" spans="1:11" hidden="1" x14ac:dyDescent="0.4">
      <c r="B27" s="155"/>
      <c r="C27" s="282" t="s">
        <v>301</v>
      </c>
      <c r="D27" s="942"/>
      <c r="E27" s="161" t="s">
        <v>15</v>
      </c>
      <c r="F27" s="162" t="s">
        <v>12</v>
      </c>
      <c r="G27" s="171">
        <f>'اسعار الخامات'!E12</f>
        <v>13</v>
      </c>
      <c r="H27" s="172">
        <f>1.75/6.66</f>
        <v>0.26276276276276278</v>
      </c>
      <c r="I27" s="163">
        <v>0.1</v>
      </c>
      <c r="J27" s="164">
        <f>G27*H27+(G27*H27*I27)</f>
        <v>3.7575075075075075</v>
      </c>
    </row>
    <row r="28" spans="1:11" hidden="1" x14ac:dyDescent="0.4">
      <c r="B28" s="155"/>
      <c r="C28" s="282" t="s">
        <v>30</v>
      </c>
      <c r="D28" s="942" t="s">
        <v>11</v>
      </c>
      <c r="E28" s="161" t="s">
        <v>188</v>
      </c>
      <c r="F28" s="162" t="s">
        <v>12</v>
      </c>
      <c r="G28" s="173">
        <f>'اسعار المصنعيات'!D7</f>
        <v>30</v>
      </c>
      <c r="H28" s="162">
        <v>0.15</v>
      </c>
      <c r="I28" s="162">
        <v>0</v>
      </c>
      <c r="J28" s="164">
        <f>G28*H28</f>
        <v>4.5</v>
      </c>
    </row>
    <row r="29" spans="1:11" hidden="1" x14ac:dyDescent="0.4">
      <c r="B29" s="155"/>
      <c r="C29" s="282" t="s">
        <v>187</v>
      </c>
      <c r="D29" s="942"/>
      <c r="E29" s="161" t="s">
        <v>129</v>
      </c>
      <c r="F29" s="162" t="s">
        <v>45</v>
      </c>
      <c r="G29" s="174">
        <v>0.6</v>
      </c>
      <c r="H29" s="162">
        <v>1</v>
      </c>
      <c r="I29" s="162"/>
      <c r="J29" s="164">
        <f>H29*G29</f>
        <v>0.6</v>
      </c>
    </row>
    <row r="30" spans="1:11" hidden="1" x14ac:dyDescent="0.4">
      <c r="B30" s="155"/>
      <c r="C30" s="282"/>
      <c r="D30" s="942"/>
      <c r="E30" s="161" t="s">
        <v>263</v>
      </c>
      <c r="F30" s="175" t="s">
        <v>12</v>
      </c>
      <c r="G30" s="171">
        <f>'اسعار الخامات'!E12</f>
        <v>13</v>
      </c>
      <c r="H30" s="162">
        <f>0.5*0.15</f>
        <v>7.4999999999999997E-2</v>
      </c>
      <c r="I30" s="162">
        <v>0</v>
      </c>
      <c r="J30" s="164">
        <f>H30*G30</f>
        <v>0.97499999999999998</v>
      </c>
    </row>
    <row r="31" spans="1:11" hidden="1" x14ac:dyDescent="0.4">
      <c r="B31" s="155"/>
      <c r="C31" s="282"/>
      <c r="D31" s="942"/>
      <c r="E31" s="161" t="s">
        <v>178</v>
      </c>
      <c r="F31" s="162" t="s">
        <v>45</v>
      </c>
      <c r="G31" s="174">
        <v>0.25</v>
      </c>
      <c r="H31" s="162">
        <v>1</v>
      </c>
      <c r="I31" s="162"/>
      <c r="J31" s="164">
        <f>H31*G31</f>
        <v>0.25</v>
      </c>
    </row>
    <row r="32" spans="1:11" ht="22.5" hidden="1" customHeight="1" x14ac:dyDescent="0.4">
      <c r="A32" s="166"/>
      <c r="B32" s="945" t="s">
        <v>132</v>
      </c>
      <c r="C32" s="945"/>
      <c r="D32" s="945"/>
      <c r="E32" s="945"/>
      <c r="F32" s="945"/>
      <c r="G32" s="945"/>
      <c r="H32" s="945"/>
      <c r="I32" s="945"/>
      <c r="J32" s="153">
        <f>SUM(J24:J31)</f>
        <v>44.253678678678682</v>
      </c>
    </row>
    <row r="33" spans="1:11" ht="22.5" customHeight="1" x14ac:dyDescent="0.4">
      <c r="A33" s="158"/>
      <c r="B33" s="158"/>
      <c r="C33" s="346"/>
      <c r="D33" s="158"/>
      <c r="E33" s="158"/>
      <c r="F33" s="158"/>
      <c r="G33" s="158"/>
      <c r="H33" s="158"/>
      <c r="I33" s="158"/>
      <c r="J33" s="158"/>
    </row>
    <row r="34" spans="1:11" ht="52.5" customHeight="1" x14ac:dyDescent="0.4">
      <c r="A34" s="159"/>
      <c r="B34" s="246" t="s">
        <v>0</v>
      </c>
      <c r="C34" s="348" t="s">
        <v>1</v>
      </c>
      <c r="D34" s="941" t="s">
        <v>2</v>
      </c>
      <c r="E34" s="941"/>
      <c r="F34" s="246" t="s">
        <v>3</v>
      </c>
      <c r="G34" s="246" t="s">
        <v>4</v>
      </c>
      <c r="H34" s="246" t="s">
        <v>5</v>
      </c>
      <c r="I34" s="246" t="s">
        <v>6</v>
      </c>
      <c r="J34" s="160" t="s">
        <v>7</v>
      </c>
    </row>
    <row r="35" spans="1:11" x14ac:dyDescent="0.4">
      <c r="B35" s="155" t="s">
        <v>294</v>
      </c>
      <c r="C35" s="354" t="s">
        <v>290</v>
      </c>
      <c r="D35" s="935" t="s">
        <v>14</v>
      </c>
      <c r="E35" s="937" t="s">
        <v>291</v>
      </c>
      <c r="F35" s="938" t="s">
        <v>12</v>
      </c>
      <c r="G35" s="935">
        <f>'اسعار الخامات'!E5</f>
        <v>310</v>
      </c>
      <c r="H35" s="939">
        <f>1/6.66</f>
        <v>0.15015015015015015</v>
      </c>
      <c r="I35" s="930">
        <v>0.1</v>
      </c>
      <c r="J35" s="931">
        <f>G35*H35+(G35*H35*I35)</f>
        <v>51.201201201201201</v>
      </c>
    </row>
    <row r="36" spans="1:11" ht="66" x14ac:dyDescent="0.4">
      <c r="B36" s="932" t="s">
        <v>497</v>
      </c>
      <c r="C36" s="282" t="s">
        <v>296</v>
      </c>
      <c r="D36" s="935"/>
      <c r="E36" s="937"/>
      <c r="F36" s="938"/>
      <c r="G36" s="935"/>
      <c r="H36" s="939"/>
      <c r="I36" s="930"/>
      <c r="J36" s="931"/>
    </row>
    <row r="37" spans="1:11" ht="66" x14ac:dyDescent="0.4">
      <c r="B37" s="933"/>
      <c r="C37" s="282" t="s">
        <v>295</v>
      </c>
      <c r="D37" s="935"/>
      <c r="E37" s="937"/>
      <c r="F37" s="938"/>
      <c r="G37" s="935"/>
      <c r="H37" s="939"/>
      <c r="I37" s="930"/>
      <c r="J37" s="931"/>
    </row>
    <row r="38" spans="1:11" x14ac:dyDescent="0.4">
      <c r="B38" s="933"/>
      <c r="C38" s="282" t="s">
        <v>28</v>
      </c>
      <c r="D38" s="935"/>
      <c r="E38" s="937"/>
      <c r="F38" s="938"/>
      <c r="G38" s="935"/>
      <c r="H38" s="939"/>
      <c r="I38" s="930"/>
      <c r="J38" s="931"/>
    </row>
    <row r="39" spans="1:11" x14ac:dyDescent="0.4">
      <c r="B39" s="933"/>
      <c r="C39" s="282" t="s">
        <v>29</v>
      </c>
      <c r="D39" s="935" t="s">
        <v>11</v>
      </c>
      <c r="E39" s="161" t="s">
        <v>188</v>
      </c>
      <c r="F39" s="162" t="s">
        <v>12</v>
      </c>
      <c r="G39" s="152">
        <f>'اسعار المصنعيات'!D8</f>
        <v>10</v>
      </c>
      <c r="H39" s="162">
        <v>1</v>
      </c>
      <c r="I39" s="162">
        <v>0</v>
      </c>
      <c r="J39" s="164">
        <f>G39*H39</f>
        <v>10</v>
      </c>
    </row>
    <row r="40" spans="1:11" x14ac:dyDescent="0.4">
      <c r="B40" s="933"/>
      <c r="C40" s="282" t="s">
        <v>30</v>
      </c>
      <c r="D40" s="935"/>
      <c r="E40" s="161" t="s">
        <v>129</v>
      </c>
      <c r="F40" s="162" t="s">
        <v>45</v>
      </c>
      <c r="G40" s="152">
        <v>0.6</v>
      </c>
      <c r="H40" s="162">
        <v>1</v>
      </c>
      <c r="I40" s="162"/>
      <c r="J40" s="164">
        <f>H40*G40</f>
        <v>0.6</v>
      </c>
    </row>
    <row r="41" spans="1:11" x14ac:dyDescent="0.4">
      <c r="B41" s="933"/>
      <c r="C41" s="282" t="s">
        <v>187</v>
      </c>
      <c r="D41" s="935"/>
      <c r="E41" s="161" t="s">
        <v>263</v>
      </c>
      <c r="F41" s="175" t="s">
        <v>12</v>
      </c>
      <c r="G41" s="152">
        <f>'اسعار الخامات'!E12</f>
        <v>13</v>
      </c>
      <c r="H41" s="162">
        <f>0.5*0.15</f>
        <v>7.4999999999999997E-2</v>
      </c>
      <c r="I41" s="162">
        <v>0</v>
      </c>
      <c r="J41" s="164">
        <f>H41*G41</f>
        <v>0.97499999999999998</v>
      </c>
    </row>
    <row r="42" spans="1:11" x14ac:dyDescent="0.4">
      <c r="B42" s="934"/>
      <c r="C42" s="282"/>
      <c r="D42" s="935"/>
      <c r="E42" s="161" t="s">
        <v>178</v>
      </c>
      <c r="F42" s="162" t="s">
        <v>45</v>
      </c>
      <c r="G42" s="152">
        <v>0.25</v>
      </c>
      <c r="H42" s="162">
        <v>1</v>
      </c>
      <c r="I42" s="162"/>
      <c r="J42" s="164">
        <f>H42*G42</f>
        <v>0.25</v>
      </c>
    </row>
    <row r="43" spans="1:11" ht="34.5" customHeight="1" x14ac:dyDescent="0.4">
      <c r="A43" s="248"/>
      <c r="B43" s="936" t="s">
        <v>132</v>
      </c>
      <c r="C43" s="936"/>
      <c r="D43" s="936"/>
      <c r="E43" s="936"/>
      <c r="F43" s="936"/>
      <c r="G43" s="936"/>
      <c r="H43" s="936"/>
      <c r="I43" s="936"/>
      <c r="J43" s="382">
        <f>SUM(J35:J42)</f>
        <v>63.026201201201204</v>
      </c>
      <c r="K43" s="382">
        <f>J43*1.25</f>
        <v>78.782751501501508</v>
      </c>
    </row>
    <row r="44" spans="1:11" ht="22.5" customHeight="1" x14ac:dyDescent="0.4">
      <c r="A44" s="158"/>
      <c r="B44" s="158"/>
      <c r="C44" s="346"/>
      <c r="D44" s="158"/>
      <c r="E44" s="158"/>
      <c r="F44" s="158"/>
      <c r="G44" s="158"/>
      <c r="H44" s="158"/>
      <c r="I44" s="158"/>
      <c r="J44" s="158"/>
    </row>
    <row r="45" spans="1:11" ht="52.5" customHeight="1" x14ac:dyDescent="0.4">
      <c r="A45" s="159"/>
      <c r="B45" s="246" t="s">
        <v>0</v>
      </c>
      <c r="C45" s="348" t="s">
        <v>1</v>
      </c>
      <c r="D45" s="941" t="s">
        <v>2</v>
      </c>
      <c r="E45" s="941"/>
      <c r="F45" s="246" t="s">
        <v>3</v>
      </c>
      <c r="G45" s="246" t="s">
        <v>4</v>
      </c>
      <c r="H45" s="246" t="s">
        <v>5</v>
      </c>
      <c r="I45" s="246" t="s">
        <v>6</v>
      </c>
      <c r="J45" s="160" t="s">
        <v>7</v>
      </c>
    </row>
    <row r="46" spans="1:11" x14ac:dyDescent="0.4">
      <c r="B46" s="932" t="s">
        <v>498</v>
      </c>
      <c r="C46" s="914" t="s">
        <v>324</v>
      </c>
      <c r="D46" s="935" t="s">
        <v>14</v>
      </c>
      <c r="E46" s="161" t="s">
        <v>18</v>
      </c>
      <c r="F46" s="162" t="s">
        <v>19</v>
      </c>
      <c r="G46" s="152">
        <f>'اسعار الخامات'!E7</f>
        <v>650</v>
      </c>
      <c r="H46" s="176">
        <f>0.15/33</f>
        <v>4.5454545454545452E-3</v>
      </c>
      <c r="I46" s="163">
        <v>0.05</v>
      </c>
      <c r="J46" s="164">
        <f t="shared" ref="J46:J52" si="1">G46*H46+(G46*H46*I46)</f>
        <v>3.1022727272727275</v>
      </c>
    </row>
    <row r="47" spans="1:11" x14ac:dyDescent="0.4">
      <c r="B47" s="933"/>
      <c r="C47" s="914"/>
      <c r="D47" s="935"/>
      <c r="E47" s="161" t="s">
        <v>21</v>
      </c>
      <c r="F47" s="162" t="s">
        <v>12</v>
      </c>
      <c r="G47" s="152">
        <f>'اسعار الخامات'!E9</f>
        <v>35</v>
      </c>
      <c r="H47" s="164">
        <f>1/33</f>
        <v>3.0303030303030304E-2</v>
      </c>
      <c r="I47" s="163">
        <v>0.1</v>
      </c>
      <c r="J47" s="164">
        <f t="shared" si="1"/>
        <v>1.1666666666666665</v>
      </c>
    </row>
    <row r="48" spans="1:11" x14ac:dyDescent="0.4">
      <c r="B48" s="933"/>
      <c r="C48" s="914"/>
      <c r="D48" s="935"/>
      <c r="E48" s="161" t="s">
        <v>325</v>
      </c>
      <c r="F48" s="162" t="s">
        <v>48</v>
      </c>
      <c r="G48" s="152">
        <f>'اسعار الخامات'!E15</f>
        <v>429</v>
      </c>
      <c r="H48" s="172">
        <f>528/1000/20</f>
        <v>2.64E-2</v>
      </c>
      <c r="I48" s="163">
        <v>0</v>
      </c>
      <c r="J48" s="164">
        <f t="shared" si="1"/>
        <v>11.3256</v>
      </c>
    </row>
    <row r="49" spans="1:11" x14ac:dyDescent="0.4">
      <c r="B49" s="933"/>
      <c r="C49" s="914"/>
      <c r="D49" s="935"/>
      <c r="E49" s="161" t="s">
        <v>15</v>
      </c>
      <c r="F49" s="162" t="s">
        <v>12</v>
      </c>
      <c r="G49" s="152">
        <f>'اسعار الخامات'!E12</f>
        <v>13</v>
      </c>
      <c r="H49" s="162">
        <f>1.75/20</f>
        <v>8.7499999999999994E-2</v>
      </c>
      <c r="I49" s="163">
        <v>0.1</v>
      </c>
      <c r="J49" s="164">
        <f t="shared" si="1"/>
        <v>1.25125</v>
      </c>
    </row>
    <row r="50" spans="1:11" x14ac:dyDescent="0.4">
      <c r="B50" s="933"/>
      <c r="C50" s="914"/>
      <c r="D50" s="935" t="s">
        <v>11</v>
      </c>
      <c r="E50" s="161" t="s">
        <v>189</v>
      </c>
      <c r="F50" s="162" t="s">
        <v>45</v>
      </c>
      <c r="G50" s="152">
        <f>'اسعار المصنعيات'!D8</f>
        <v>10</v>
      </c>
      <c r="H50" s="162">
        <v>1</v>
      </c>
      <c r="I50" s="162">
        <v>0</v>
      </c>
      <c r="J50" s="164">
        <f t="shared" si="1"/>
        <v>10</v>
      </c>
    </row>
    <row r="51" spans="1:11" x14ac:dyDescent="0.4">
      <c r="B51" s="933"/>
      <c r="C51" s="914"/>
      <c r="D51" s="935"/>
      <c r="E51" s="161" t="s">
        <v>50</v>
      </c>
      <c r="F51" s="162" t="s">
        <v>45</v>
      </c>
      <c r="G51" s="152">
        <v>2</v>
      </c>
      <c r="H51" s="162">
        <v>1</v>
      </c>
      <c r="I51" s="162">
        <v>0</v>
      </c>
      <c r="J51" s="164">
        <f t="shared" si="1"/>
        <v>2</v>
      </c>
    </row>
    <row r="52" spans="1:11" x14ac:dyDescent="0.4">
      <c r="B52" s="933"/>
      <c r="C52" s="914"/>
      <c r="D52" s="935"/>
      <c r="E52" s="161" t="s">
        <v>178</v>
      </c>
      <c r="F52" s="162" t="s">
        <v>45</v>
      </c>
      <c r="G52" s="152">
        <v>0.25</v>
      </c>
      <c r="H52" s="162">
        <v>1</v>
      </c>
      <c r="I52" s="162"/>
      <c r="J52" s="164">
        <f t="shared" si="1"/>
        <v>0.25</v>
      </c>
    </row>
    <row r="53" spans="1:11" ht="34.5" customHeight="1" x14ac:dyDescent="0.4">
      <c r="A53" s="248"/>
      <c r="B53" s="936" t="s">
        <v>190</v>
      </c>
      <c r="C53" s="936"/>
      <c r="D53" s="936"/>
      <c r="E53" s="936"/>
      <c r="F53" s="936"/>
      <c r="G53" s="936"/>
      <c r="H53" s="936"/>
      <c r="I53" s="936"/>
      <c r="J53" s="382">
        <f>SUM(J46:J52)</f>
        <v>29.095789393939395</v>
      </c>
      <c r="K53" s="382">
        <f>J53*1.25</f>
        <v>36.369736742424244</v>
      </c>
    </row>
    <row r="54" spans="1:11" ht="22.5" customHeight="1" thickBot="1" x14ac:dyDescent="0.45">
      <c r="A54" s="158"/>
      <c r="B54" s="158"/>
      <c r="C54" s="346"/>
      <c r="D54" s="158"/>
      <c r="E54" s="158"/>
      <c r="F54" s="158"/>
      <c r="G54" s="158"/>
      <c r="H54" s="158"/>
      <c r="I54" s="158"/>
      <c r="J54" s="158"/>
    </row>
    <row r="55" spans="1:11" ht="27" customHeight="1" thickBot="1" x14ac:dyDescent="0.45">
      <c r="A55" s="166"/>
      <c r="B55" s="946" t="s">
        <v>259</v>
      </c>
      <c r="C55" s="947"/>
      <c r="D55" s="947"/>
      <c r="E55" s="947"/>
      <c r="F55" s="947"/>
      <c r="G55" s="947"/>
      <c r="H55" s="947"/>
      <c r="I55" s="947"/>
      <c r="J55" s="947"/>
    </row>
    <row r="56" spans="1:11" ht="52.5" customHeight="1" x14ac:dyDescent="0.4">
      <c r="A56" s="159"/>
      <c r="B56" s="246" t="s">
        <v>0</v>
      </c>
      <c r="C56" s="348" t="s">
        <v>1</v>
      </c>
      <c r="D56" s="941" t="s">
        <v>2</v>
      </c>
      <c r="E56" s="941"/>
      <c r="F56" s="246" t="s">
        <v>3</v>
      </c>
      <c r="G56" s="246" t="s">
        <v>4</v>
      </c>
      <c r="H56" s="246" t="s">
        <v>5</v>
      </c>
      <c r="I56" s="246" t="s">
        <v>6</v>
      </c>
      <c r="J56" s="160" t="s">
        <v>7</v>
      </c>
    </row>
    <row r="57" spans="1:11" x14ac:dyDescent="0.4">
      <c r="B57" s="933" t="s">
        <v>499</v>
      </c>
      <c r="C57" s="344" t="s">
        <v>32</v>
      </c>
      <c r="D57" s="944" t="s">
        <v>14</v>
      </c>
      <c r="E57" s="177" t="s">
        <v>18</v>
      </c>
      <c r="F57" s="178" t="s">
        <v>19</v>
      </c>
      <c r="G57" s="179">
        <f>'اسعار الخامات'!E7</f>
        <v>650</v>
      </c>
      <c r="H57" s="178">
        <f>0.15/50</f>
        <v>3.0000000000000001E-3</v>
      </c>
      <c r="I57" s="180">
        <v>0.05</v>
      </c>
      <c r="J57" s="181">
        <f>G57*H57+(G57*H57*I57)</f>
        <v>2.0474999999999999</v>
      </c>
    </row>
    <row r="58" spans="1:11" x14ac:dyDescent="0.4">
      <c r="B58" s="933"/>
      <c r="C58" s="282" t="s">
        <v>260</v>
      </c>
      <c r="D58" s="935"/>
      <c r="E58" s="161" t="s">
        <v>21</v>
      </c>
      <c r="F58" s="162" t="s">
        <v>12</v>
      </c>
      <c r="G58" s="152">
        <f>'اسعار الخامات'!E8</f>
        <v>35</v>
      </c>
      <c r="H58" s="162">
        <f>1/50</f>
        <v>0.02</v>
      </c>
      <c r="I58" s="163">
        <v>0.1</v>
      </c>
      <c r="J58" s="164">
        <f>G58*H58+(G58*H58*I58)</f>
        <v>0.77</v>
      </c>
    </row>
    <row r="59" spans="1:11" x14ac:dyDescent="0.4">
      <c r="B59" s="933"/>
      <c r="C59" s="282" t="s">
        <v>265</v>
      </c>
      <c r="D59" s="935"/>
      <c r="E59" s="161" t="s">
        <v>15</v>
      </c>
      <c r="F59" s="162" t="s">
        <v>12</v>
      </c>
      <c r="G59" s="152">
        <f>'اسعار الخامات'!E12</f>
        <v>13</v>
      </c>
      <c r="H59" s="162">
        <f>1.75/50</f>
        <v>3.5000000000000003E-2</v>
      </c>
      <c r="I59" s="163">
        <v>0.1</v>
      </c>
      <c r="J59" s="164">
        <f>G59*H59+(G59*H59*I59)</f>
        <v>0.50050000000000006</v>
      </c>
    </row>
    <row r="60" spans="1:11" ht="38.25" x14ac:dyDescent="0.4">
      <c r="B60" s="933"/>
      <c r="C60" s="282" t="s">
        <v>575</v>
      </c>
      <c r="D60" s="935" t="s">
        <v>11</v>
      </c>
      <c r="E60" s="161" t="s">
        <v>189</v>
      </c>
      <c r="F60" s="162" t="s">
        <v>45</v>
      </c>
      <c r="G60" s="152">
        <f>'اسعار المصنعيات'!D10</f>
        <v>4</v>
      </c>
      <c r="H60" s="162">
        <v>1</v>
      </c>
      <c r="I60" s="162">
        <v>0</v>
      </c>
      <c r="J60" s="164">
        <v>5</v>
      </c>
    </row>
    <row r="61" spans="1:11" x14ac:dyDescent="0.4">
      <c r="B61" s="934"/>
      <c r="C61" s="282" t="s">
        <v>351</v>
      </c>
      <c r="D61" s="935"/>
      <c r="E61" s="161" t="s">
        <v>178</v>
      </c>
      <c r="F61" s="162" t="s">
        <v>45</v>
      </c>
      <c r="G61" s="152">
        <v>0.25</v>
      </c>
      <c r="H61" s="162">
        <v>1</v>
      </c>
      <c r="I61" s="162"/>
      <c r="J61" s="164">
        <f>H61*G61</f>
        <v>0.25</v>
      </c>
    </row>
    <row r="62" spans="1:11" ht="34.5" customHeight="1" x14ac:dyDescent="0.4">
      <c r="A62" s="248"/>
      <c r="B62" s="936" t="s">
        <v>190</v>
      </c>
      <c r="C62" s="936"/>
      <c r="D62" s="936"/>
      <c r="E62" s="936"/>
      <c r="F62" s="936"/>
      <c r="G62" s="936"/>
      <c r="H62" s="936"/>
      <c r="I62" s="936"/>
      <c r="J62" s="382">
        <f>SUM(J57:J61)</f>
        <v>8.5679999999999996</v>
      </c>
    </row>
    <row r="63" spans="1:11" x14ac:dyDescent="0.4">
      <c r="D63" s="157"/>
      <c r="E63" s="157"/>
      <c r="F63" s="157"/>
      <c r="G63" s="157"/>
    </row>
    <row r="64" spans="1:11" ht="52.5" customHeight="1" x14ac:dyDescent="0.4">
      <c r="A64" s="159"/>
      <c r="B64" s="246" t="s">
        <v>0</v>
      </c>
      <c r="C64" s="348" t="s">
        <v>1</v>
      </c>
      <c r="D64" s="941" t="s">
        <v>2</v>
      </c>
      <c r="E64" s="941"/>
      <c r="F64" s="246" t="s">
        <v>3</v>
      </c>
      <c r="G64" s="246" t="s">
        <v>4</v>
      </c>
      <c r="H64" s="246" t="s">
        <v>5</v>
      </c>
      <c r="I64" s="246" t="s">
        <v>6</v>
      </c>
      <c r="J64" s="160" t="s">
        <v>7</v>
      </c>
    </row>
    <row r="65" spans="1:11" x14ac:dyDescent="0.4">
      <c r="B65" s="232" t="s">
        <v>294</v>
      </c>
      <c r="C65" s="354" t="s">
        <v>290</v>
      </c>
      <c r="D65" s="935" t="s">
        <v>14</v>
      </c>
      <c r="E65" s="937" t="s">
        <v>291</v>
      </c>
      <c r="F65" s="938" t="s">
        <v>12</v>
      </c>
      <c r="G65" s="935">
        <f>'اسعار الخامات'!E5</f>
        <v>310</v>
      </c>
      <c r="H65" s="939">
        <v>0.1</v>
      </c>
      <c r="I65" s="930">
        <v>0.1</v>
      </c>
      <c r="J65" s="931">
        <f>G65*H65+(G65*H65*I65)</f>
        <v>34.1</v>
      </c>
    </row>
    <row r="66" spans="1:11" ht="33" customHeight="1" x14ac:dyDescent="0.4">
      <c r="B66" s="932" t="s">
        <v>497</v>
      </c>
      <c r="C66" s="282" t="s">
        <v>296</v>
      </c>
      <c r="D66" s="935"/>
      <c r="E66" s="937"/>
      <c r="F66" s="938"/>
      <c r="G66" s="935"/>
      <c r="H66" s="939"/>
      <c r="I66" s="930"/>
      <c r="J66" s="931"/>
    </row>
    <row r="67" spans="1:11" ht="66" x14ac:dyDescent="0.4">
      <c r="B67" s="933"/>
      <c r="C67" s="282" t="s">
        <v>621</v>
      </c>
      <c r="D67" s="935"/>
      <c r="E67" s="937"/>
      <c r="F67" s="938"/>
      <c r="G67" s="935"/>
      <c r="H67" s="939"/>
      <c r="I67" s="930"/>
      <c r="J67" s="931"/>
    </row>
    <row r="68" spans="1:11" x14ac:dyDescent="0.4">
      <c r="B68" s="933"/>
      <c r="C68" s="282" t="s">
        <v>28</v>
      </c>
      <c r="D68" s="935"/>
      <c r="E68" s="937"/>
      <c r="F68" s="938"/>
      <c r="G68" s="935"/>
      <c r="H68" s="939"/>
      <c r="I68" s="930"/>
      <c r="J68" s="931"/>
    </row>
    <row r="69" spans="1:11" x14ac:dyDescent="0.4">
      <c r="B69" s="933"/>
      <c r="C69" s="282" t="s">
        <v>29</v>
      </c>
      <c r="D69" s="935" t="s">
        <v>11</v>
      </c>
      <c r="E69" s="234" t="s">
        <v>188</v>
      </c>
      <c r="F69" s="235" t="s">
        <v>12</v>
      </c>
      <c r="G69" s="233">
        <f>'اسعار المصنعيات'!D8</f>
        <v>10</v>
      </c>
      <c r="H69" s="235">
        <v>1</v>
      </c>
      <c r="I69" s="235">
        <v>0</v>
      </c>
      <c r="J69" s="236">
        <f>G69*H69</f>
        <v>10</v>
      </c>
    </row>
    <row r="70" spans="1:11" x14ac:dyDescent="0.4">
      <c r="B70" s="933"/>
      <c r="C70" s="282" t="s">
        <v>30</v>
      </c>
      <c r="D70" s="935"/>
      <c r="E70" s="234" t="s">
        <v>129</v>
      </c>
      <c r="F70" s="235" t="s">
        <v>45</v>
      </c>
      <c r="G70" s="233">
        <v>0.6</v>
      </c>
      <c r="H70" s="235">
        <v>1</v>
      </c>
      <c r="I70" s="235"/>
      <c r="J70" s="236">
        <f>H70*G70</f>
        <v>0.6</v>
      </c>
    </row>
    <row r="71" spans="1:11" x14ac:dyDescent="0.4">
      <c r="B71" s="933"/>
      <c r="C71" s="282" t="s">
        <v>187</v>
      </c>
      <c r="D71" s="935"/>
      <c r="E71" s="234" t="s">
        <v>263</v>
      </c>
      <c r="F71" s="175" t="s">
        <v>12</v>
      </c>
      <c r="G71" s="233">
        <f>'اسعار الخامات'!E12</f>
        <v>13</v>
      </c>
      <c r="H71" s="235">
        <f>0.5*0.15</f>
        <v>7.4999999999999997E-2</v>
      </c>
      <c r="I71" s="235">
        <v>0</v>
      </c>
      <c r="J71" s="236">
        <f>H71*G71</f>
        <v>0.97499999999999998</v>
      </c>
    </row>
    <row r="72" spans="1:11" x14ac:dyDescent="0.4">
      <c r="B72" s="934"/>
      <c r="C72" s="282"/>
      <c r="D72" s="935"/>
      <c r="E72" s="234" t="s">
        <v>178</v>
      </c>
      <c r="F72" s="235" t="s">
        <v>45</v>
      </c>
      <c r="G72" s="233">
        <v>0.25</v>
      </c>
      <c r="H72" s="235">
        <v>1</v>
      </c>
      <c r="I72" s="235"/>
      <c r="J72" s="236">
        <f>H72*G72</f>
        <v>0.25</v>
      </c>
    </row>
    <row r="73" spans="1:11" ht="34.5" customHeight="1" x14ac:dyDescent="0.4">
      <c r="A73" s="248"/>
      <c r="B73" s="936" t="s">
        <v>620</v>
      </c>
      <c r="C73" s="936"/>
      <c r="D73" s="936"/>
      <c r="E73" s="936"/>
      <c r="F73" s="936"/>
      <c r="G73" s="936"/>
      <c r="H73" s="936"/>
      <c r="I73" s="936"/>
      <c r="J73" s="382">
        <f>SUM(J65:J72)</f>
        <v>45.925000000000004</v>
      </c>
      <c r="K73" s="382">
        <f>J73*1.25</f>
        <v>57.406250000000007</v>
      </c>
    </row>
    <row r="74" spans="1:11" x14ac:dyDescent="0.4">
      <c r="D74" s="157"/>
      <c r="E74" s="157"/>
      <c r="F74" s="157"/>
      <c r="G74" s="157"/>
    </row>
    <row r="75" spans="1:11" x14ac:dyDescent="0.4">
      <c r="D75" s="157"/>
      <c r="E75" s="157"/>
      <c r="F75" s="157"/>
      <c r="G75" s="157"/>
    </row>
    <row r="76" spans="1:11" x14ac:dyDescent="0.4">
      <c r="D76" s="157"/>
      <c r="E76" s="157"/>
      <c r="F76" s="157"/>
      <c r="G76" s="157"/>
    </row>
    <row r="77" spans="1:11" x14ac:dyDescent="0.4">
      <c r="D77" s="157"/>
      <c r="E77" s="157"/>
      <c r="F77" s="157"/>
      <c r="G77" s="157"/>
    </row>
    <row r="78" spans="1:11" x14ac:dyDescent="0.4">
      <c r="D78" s="157"/>
      <c r="E78" s="157"/>
      <c r="F78" s="157"/>
      <c r="G78" s="157"/>
    </row>
    <row r="79" spans="1:11" x14ac:dyDescent="0.4">
      <c r="D79" s="157"/>
      <c r="E79" s="157"/>
      <c r="F79" s="157"/>
      <c r="G79" s="157"/>
    </row>
    <row r="80" spans="1:11" x14ac:dyDescent="0.4">
      <c r="D80" s="157"/>
      <c r="E80" s="157"/>
      <c r="F80" s="157"/>
      <c r="G80" s="157"/>
    </row>
    <row r="81" spans="4:7" x14ac:dyDescent="0.4">
      <c r="D81" s="157"/>
      <c r="E81" s="157"/>
      <c r="F81" s="157"/>
      <c r="G81" s="157"/>
    </row>
    <row r="82" spans="4:7" x14ac:dyDescent="0.4">
      <c r="D82" s="157"/>
      <c r="E82" s="157"/>
      <c r="F82" s="157"/>
      <c r="G82" s="157"/>
    </row>
    <row r="83" spans="4:7" x14ac:dyDescent="0.4">
      <c r="D83" s="157"/>
      <c r="E83" s="157"/>
      <c r="F83" s="157"/>
      <c r="G83" s="157"/>
    </row>
    <row r="84" spans="4:7" x14ac:dyDescent="0.4">
      <c r="D84" s="157"/>
      <c r="E84" s="157"/>
      <c r="F84" s="157"/>
      <c r="G84" s="157"/>
    </row>
    <row r="85" spans="4:7" x14ac:dyDescent="0.4">
      <c r="D85" s="157"/>
      <c r="E85" s="157"/>
      <c r="F85" s="157"/>
      <c r="G85" s="157"/>
    </row>
    <row r="86" spans="4:7" x14ac:dyDescent="0.4">
      <c r="D86" s="157"/>
      <c r="E86" s="157"/>
      <c r="F86" s="157"/>
      <c r="G86" s="157"/>
    </row>
    <row r="87" spans="4:7" x14ac:dyDescent="0.4">
      <c r="D87" s="157"/>
      <c r="E87" s="157"/>
      <c r="F87" s="157"/>
      <c r="G87" s="157"/>
    </row>
    <row r="88" spans="4:7" x14ac:dyDescent="0.4">
      <c r="D88" s="157"/>
      <c r="E88" s="157"/>
      <c r="F88" s="157"/>
      <c r="G88" s="157"/>
    </row>
    <row r="89" spans="4:7" x14ac:dyDescent="0.4">
      <c r="D89" s="157"/>
      <c r="E89" s="157"/>
      <c r="F89" s="157"/>
      <c r="G89" s="157"/>
    </row>
    <row r="90" spans="4:7" x14ac:dyDescent="0.4">
      <c r="D90" s="157"/>
      <c r="E90" s="157"/>
      <c r="F90" s="157"/>
      <c r="G90" s="157"/>
    </row>
    <row r="91" spans="4:7" x14ac:dyDescent="0.4">
      <c r="D91" s="157"/>
      <c r="E91" s="157"/>
      <c r="F91" s="157"/>
      <c r="G91" s="157"/>
    </row>
    <row r="92" spans="4:7" x14ac:dyDescent="0.4">
      <c r="D92" s="157"/>
      <c r="E92" s="157"/>
      <c r="F92" s="157"/>
      <c r="G92" s="157"/>
    </row>
    <row r="93" spans="4:7" x14ac:dyDescent="0.4">
      <c r="D93" s="157"/>
      <c r="E93" s="157"/>
      <c r="F93" s="157"/>
      <c r="G93" s="157"/>
    </row>
    <row r="94" spans="4:7" x14ac:dyDescent="0.4">
      <c r="D94" s="157"/>
      <c r="E94" s="157"/>
      <c r="F94" s="157"/>
      <c r="G94" s="157"/>
    </row>
    <row r="95" spans="4:7" x14ac:dyDescent="0.4">
      <c r="D95" s="157"/>
      <c r="E95" s="157"/>
      <c r="F95" s="157"/>
      <c r="G95" s="157"/>
    </row>
    <row r="96" spans="4:7" x14ac:dyDescent="0.4">
      <c r="D96" s="157"/>
      <c r="E96" s="157"/>
      <c r="F96" s="157"/>
      <c r="G96" s="157"/>
    </row>
    <row r="97" spans="4:7" x14ac:dyDescent="0.4">
      <c r="D97" s="157"/>
      <c r="E97" s="157"/>
      <c r="F97" s="157"/>
      <c r="G97" s="157"/>
    </row>
    <row r="98" spans="4:7" x14ac:dyDescent="0.4">
      <c r="D98" s="157"/>
      <c r="E98" s="157"/>
      <c r="F98" s="157"/>
      <c r="G98" s="157"/>
    </row>
    <row r="99" spans="4:7" x14ac:dyDescent="0.4">
      <c r="D99" s="157"/>
      <c r="E99" s="157"/>
      <c r="F99" s="157"/>
      <c r="G99" s="157"/>
    </row>
    <row r="100" spans="4:7" x14ac:dyDescent="0.4">
      <c r="D100" s="157"/>
      <c r="E100" s="157"/>
      <c r="F100" s="157"/>
      <c r="G100" s="157"/>
    </row>
    <row r="101" spans="4:7" x14ac:dyDescent="0.4">
      <c r="D101" s="157"/>
      <c r="E101" s="157"/>
      <c r="F101" s="157"/>
      <c r="G101" s="157"/>
    </row>
    <row r="102" spans="4:7" x14ac:dyDescent="0.4">
      <c r="D102" s="157"/>
      <c r="E102" s="157"/>
      <c r="F102" s="157"/>
      <c r="G102" s="157"/>
    </row>
    <row r="103" spans="4:7" x14ac:dyDescent="0.4">
      <c r="D103" s="157"/>
      <c r="E103" s="157"/>
      <c r="F103" s="157"/>
      <c r="G103" s="157"/>
    </row>
    <row r="104" spans="4:7" x14ac:dyDescent="0.4">
      <c r="D104" s="157"/>
      <c r="E104" s="157"/>
      <c r="F104" s="157"/>
      <c r="G104" s="157"/>
    </row>
    <row r="105" spans="4:7" x14ac:dyDescent="0.4">
      <c r="D105" s="157"/>
      <c r="E105" s="157"/>
      <c r="F105" s="157"/>
      <c r="G105" s="157"/>
    </row>
    <row r="106" spans="4:7" x14ac:dyDescent="0.4">
      <c r="D106" s="157"/>
      <c r="E106" s="157"/>
      <c r="F106" s="157"/>
      <c r="G106" s="157"/>
    </row>
    <row r="107" spans="4:7" x14ac:dyDescent="0.4">
      <c r="D107" s="157"/>
      <c r="E107" s="157"/>
      <c r="F107" s="157"/>
      <c r="G107" s="157"/>
    </row>
    <row r="108" spans="4:7" x14ac:dyDescent="0.4">
      <c r="D108" s="157"/>
      <c r="E108" s="157"/>
      <c r="F108" s="157"/>
      <c r="G108" s="157"/>
    </row>
  </sheetData>
  <mergeCells count="55">
    <mergeCell ref="D64:E64"/>
    <mergeCell ref="D2:F2"/>
    <mergeCell ref="B36:B42"/>
    <mergeCell ref="B46:B52"/>
    <mergeCell ref="B53:I53"/>
    <mergeCell ref="D57:D59"/>
    <mergeCell ref="B32:I32"/>
    <mergeCell ref="D34:E34"/>
    <mergeCell ref="D45:E45"/>
    <mergeCell ref="D56:E56"/>
    <mergeCell ref="D60:D61"/>
    <mergeCell ref="B62:I62"/>
    <mergeCell ref="B57:B61"/>
    <mergeCell ref="B55:J55"/>
    <mergeCell ref="J35:J38"/>
    <mergeCell ref="D39:D42"/>
    <mergeCell ref="B43:I43"/>
    <mergeCell ref="C46:C52"/>
    <mergeCell ref="D46:D49"/>
    <mergeCell ref="D50:D52"/>
    <mergeCell ref="D35:D38"/>
    <mergeCell ref="E35:E38"/>
    <mergeCell ref="F35:F38"/>
    <mergeCell ref="G35:G38"/>
    <mergeCell ref="H35:H38"/>
    <mergeCell ref="I35:I38"/>
    <mergeCell ref="J15:J18"/>
    <mergeCell ref="D19:D22"/>
    <mergeCell ref="B23:I23"/>
    <mergeCell ref="D24:D27"/>
    <mergeCell ref="D28:D31"/>
    <mergeCell ref="B15:B22"/>
    <mergeCell ref="B12:I12"/>
    <mergeCell ref="D15:D18"/>
    <mergeCell ref="E15:E18"/>
    <mergeCell ref="F15:F18"/>
    <mergeCell ref="G15:G18"/>
    <mergeCell ref="H15:H18"/>
    <mergeCell ref="I15:I18"/>
    <mergeCell ref="D14:E14"/>
    <mergeCell ref="D4:D7"/>
    <mergeCell ref="B4:B11"/>
    <mergeCell ref="B1:J1"/>
    <mergeCell ref="D8:D11"/>
    <mergeCell ref="D3:E3"/>
    <mergeCell ref="I65:I68"/>
    <mergeCell ref="J65:J68"/>
    <mergeCell ref="B66:B72"/>
    <mergeCell ref="D69:D72"/>
    <mergeCell ref="B73:I73"/>
    <mergeCell ref="D65:D68"/>
    <mergeCell ref="E65:E68"/>
    <mergeCell ref="F65:F68"/>
    <mergeCell ref="G65:G68"/>
    <mergeCell ref="H65:H68"/>
  </mergeCells>
  <hyperlinks>
    <hyperlink ref="K3" location="cover!A1" display="cover!A1" xr:uid="{00000000-0004-0000-0200-000000000000}"/>
  </hyperlinks>
  <pageMargins left="0.70866141732283472" right="0.70866141732283472" top="0.74803149606299213" bottom="0.74803149606299213" header="0.31496062992125984" footer="0.31496062992125984"/>
  <pageSetup paperSize="9" scale="63" orientation="landscape" r:id="rId1"/>
  <headerFooter>
    <oddFooter>&amp;CPage &amp;P&amp;Rتحليل اسعار البنود موقع امواج</odd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79998168889431442"/>
    <pageSetUpPr fitToPage="1"/>
  </sheetPr>
  <dimension ref="A1:Q429"/>
  <sheetViews>
    <sheetView rightToLeft="1" zoomScale="40" zoomScaleNormal="40" zoomScaleSheetLayoutView="90" workbookViewId="0">
      <pane ySplit="1" topLeftCell="A2" activePane="bottomLeft" state="frozen"/>
      <selection pane="bottomLeft" activeCell="G17" sqref="G17"/>
    </sheetView>
  </sheetViews>
  <sheetFormatPr defaultColWidth="9" defaultRowHeight="38.25" x14ac:dyDescent="0.25"/>
  <cols>
    <col min="1" max="1" width="3.85546875" style="157" customWidth="1"/>
    <col min="2" max="2" width="7.28515625" style="157" customWidth="1"/>
    <col min="3" max="3" width="68.7109375" style="384" customWidth="1"/>
    <col min="4" max="4" width="15.28515625" style="411" customWidth="1"/>
    <col min="5" max="5" width="34.7109375" style="412" customWidth="1"/>
    <col min="6" max="6" width="15.140625" style="413" customWidth="1"/>
    <col min="7" max="7" width="19.28515625" style="413" customWidth="1"/>
    <col min="8" max="8" width="18.85546875" style="413" customWidth="1"/>
    <col min="9" max="9" width="23.140625" style="413" customWidth="1"/>
    <col min="10" max="10" width="26.5703125" style="410" customWidth="1"/>
    <col min="11" max="12" width="16.28515625" style="182" customWidth="1"/>
    <col min="13" max="13" width="40.42578125" style="182" customWidth="1"/>
    <col min="14" max="14" width="40.140625" style="182" customWidth="1"/>
    <col min="15" max="16384" width="9" style="182"/>
  </cols>
  <sheetData>
    <row r="1" spans="1:17" ht="33" x14ac:dyDescent="0.25">
      <c r="A1" s="169"/>
      <c r="B1" s="994" t="s">
        <v>1246</v>
      </c>
      <c r="C1" s="994"/>
      <c r="D1" s="994"/>
      <c r="E1" s="994"/>
      <c r="F1" s="994"/>
      <c r="G1" s="994"/>
      <c r="H1" s="994"/>
      <c r="I1" s="994"/>
      <c r="J1" s="994"/>
    </row>
    <row r="2" spans="1:17" ht="22.5" customHeight="1" thickBot="1" x14ac:dyDescent="0.3">
      <c r="A2" s="159"/>
      <c r="B2" s="383"/>
      <c r="C2" s="385"/>
      <c r="D2" s="385"/>
      <c r="E2" s="385"/>
      <c r="F2" s="385"/>
      <c r="G2" s="385"/>
      <c r="H2" s="385"/>
      <c r="I2" s="385"/>
      <c r="J2" s="385"/>
    </row>
    <row r="3" spans="1:17" ht="66" customHeight="1" thickBot="1" x14ac:dyDescent="0.3">
      <c r="A3" s="182"/>
      <c r="B3" s="383"/>
      <c r="C3" s="791"/>
      <c r="D3" s="952" t="s">
        <v>502</v>
      </c>
      <c r="E3" s="952"/>
      <c r="F3" s="952"/>
      <c r="G3" s="952"/>
      <c r="H3" s="952"/>
      <c r="I3" s="386"/>
      <c r="J3" s="386"/>
      <c r="M3" s="948" t="s">
        <v>820</v>
      </c>
      <c r="N3" s="949"/>
      <c r="Q3" s="249" t="s">
        <v>614</v>
      </c>
    </row>
    <row r="4" spans="1:17" ht="24" customHeight="1" thickBot="1" x14ac:dyDescent="0.3">
      <c r="A4" s="182"/>
      <c r="B4" s="182"/>
      <c r="C4" s="385"/>
      <c r="D4" s="385"/>
      <c r="E4" s="385"/>
      <c r="F4" s="385"/>
      <c r="G4" s="385"/>
      <c r="H4" s="385"/>
      <c r="I4" s="385"/>
      <c r="J4" s="385"/>
      <c r="M4" s="244" t="s">
        <v>815</v>
      </c>
      <c r="N4" s="244" t="s">
        <v>818</v>
      </c>
    </row>
    <row r="5" spans="1:17" ht="46.5" customHeight="1" thickBot="1" x14ac:dyDescent="0.3">
      <c r="A5" s="182"/>
      <c r="D5" s="989" t="s">
        <v>471</v>
      </c>
      <c r="E5" s="990"/>
      <c r="F5" s="991"/>
      <c r="G5" s="385"/>
      <c r="H5" s="385"/>
      <c r="I5" s="385"/>
      <c r="J5" s="385"/>
      <c r="M5" s="244" t="s">
        <v>816</v>
      </c>
      <c r="N5" s="244" t="s">
        <v>819</v>
      </c>
    </row>
    <row r="6" spans="1:17" ht="28.5" customHeight="1" thickBot="1" x14ac:dyDescent="0.3">
      <c r="A6" s="182"/>
      <c r="B6" s="182"/>
      <c r="C6" s="385"/>
      <c r="D6" s="385"/>
      <c r="E6" s="385"/>
      <c r="F6" s="385"/>
      <c r="G6" s="385"/>
      <c r="H6" s="385"/>
      <c r="I6" s="385"/>
      <c r="J6" s="385"/>
      <c r="M6" s="256" t="s">
        <v>817</v>
      </c>
      <c r="N6" s="256" t="s">
        <v>821</v>
      </c>
    </row>
    <row r="7" spans="1:17" ht="52.5" customHeight="1" thickBot="1" x14ac:dyDescent="0.3">
      <c r="A7" s="242"/>
      <c r="B7" s="238" t="s">
        <v>0</v>
      </c>
      <c r="C7" s="387" t="s">
        <v>1</v>
      </c>
      <c r="D7" s="953" t="s">
        <v>2</v>
      </c>
      <c r="E7" s="953"/>
      <c r="F7" s="387" t="s">
        <v>3</v>
      </c>
      <c r="G7" s="387" t="s">
        <v>4</v>
      </c>
      <c r="H7" s="387" t="s">
        <v>5</v>
      </c>
      <c r="I7" s="387" t="s">
        <v>6</v>
      </c>
      <c r="J7" s="388" t="s">
        <v>7</v>
      </c>
      <c r="M7" s="950" t="s">
        <v>822</v>
      </c>
      <c r="N7" s="951"/>
    </row>
    <row r="8" spans="1:17" ht="37.5" customHeight="1" x14ac:dyDescent="0.25">
      <c r="B8" s="958" t="s">
        <v>503</v>
      </c>
      <c r="C8" s="389" t="s">
        <v>455</v>
      </c>
      <c r="D8" s="390"/>
      <c r="E8" s="390"/>
      <c r="F8" s="390"/>
      <c r="G8" s="390"/>
      <c r="H8" s="390"/>
      <c r="I8" s="390"/>
      <c r="J8" s="390"/>
    </row>
    <row r="9" spans="1:17" ht="37.5" customHeight="1" x14ac:dyDescent="0.25">
      <c r="B9" s="958"/>
      <c r="C9" s="391" t="s">
        <v>33</v>
      </c>
      <c r="D9" s="954" t="s">
        <v>14</v>
      </c>
      <c r="E9" s="389" t="s">
        <v>18</v>
      </c>
      <c r="F9" s="220" t="s">
        <v>19</v>
      </c>
      <c r="G9" s="390">
        <f>'اسعار الخامات'!E7</f>
        <v>650</v>
      </c>
      <c r="H9" s="220">
        <v>0.35</v>
      </c>
      <c r="I9" s="222">
        <v>0.05</v>
      </c>
      <c r="J9" s="392">
        <f>G9*H9+(G9*H9*I9)</f>
        <v>238.87499999999997</v>
      </c>
    </row>
    <row r="10" spans="1:17" ht="37.5" customHeight="1" x14ac:dyDescent="0.25">
      <c r="B10" s="958"/>
      <c r="C10" s="391" t="s">
        <v>34</v>
      </c>
      <c r="D10" s="954"/>
      <c r="E10" s="389" t="s">
        <v>21</v>
      </c>
      <c r="F10" s="220" t="s">
        <v>12</v>
      </c>
      <c r="G10" s="390">
        <f>'اسعار الخامات'!E8</f>
        <v>35</v>
      </c>
      <c r="H10" s="220">
        <v>0.4</v>
      </c>
      <c r="I10" s="222">
        <v>0.1</v>
      </c>
      <c r="J10" s="392">
        <f t="shared" ref="J10:J19" si="0">G10*H10+(G10*H10*I10)</f>
        <v>15.4</v>
      </c>
      <c r="M10" s="182" t="s">
        <v>838</v>
      </c>
      <c r="N10" s="182" t="s">
        <v>839</v>
      </c>
    </row>
    <row r="11" spans="1:17" ht="37.5" customHeight="1" x14ac:dyDescent="0.3">
      <c r="B11" s="958"/>
      <c r="C11" s="391" t="s">
        <v>35</v>
      </c>
      <c r="D11" s="954"/>
      <c r="E11" s="389" t="s">
        <v>23</v>
      </c>
      <c r="F11" s="220" t="s">
        <v>12</v>
      </c>
      <c r="G11" s="390">
        <f>'اسعار الخامات'!E10</f>
        <v>86</v>
      </c>
      <c r="H11" s="220">
        <v>0.8</v>
      </c>
      <c r="I11" s="222">
        <v>0.1</v>
      </c>
      <c r="J11" s="392">
        <f t="shared" si="0"/>
        <v>75.679999999999993</v>
      </c>
      <c r="N11" s="255"/>
    </row>
    <row r="12" spans="1:17" ht="37.5" customHeight="1" x14ac:dyDescent="0.3">
      <c r="B12" s="958"/>
      <c r="C12" s="391" t="s">
        <v>36</v>
      </c>
      <c r="D12" s="954"/>
      <c r="E12" s="389" t="s">
        <v>15</v>
      </c>
      <c r="F12" s="220" t="s">
        <v>12</v>
      </c>
      <c r="G12" s="390">
        <f>'اسعار الخامات'!E12</f>
        <v>13</v>
      </c>
      <c r="H12" s="220">
        <v>1.75</v>
      </c>
      <c r="I12" s="222">
        <v>0.1</v>
      </c>
      <c r="J12" s="392">
        <f t="shared" si="0"/>
        <v>25.024999999999999</v>
      </c>
      <c r="N12" s="255"/>
    </row>
    <row r="13" spans="1:17" ht="37.5" customHeight="1" x14ac:dyDescent="0.3">
      <c r="B13" s="958"/>
      <c r="C13" s="391" t="s">
        <v>37</v>
      </c>
      <c r="D13" s="954"/>
      <c r="E13" s="389" t="s">
        <v>38</v>
      </c>
      <c r="F13" s="220" t="s">
        <v>19</v>
      </c>
      <c r="G13" s="887">
        <f>'اسعار الخامات'!E13</f>
        <v>5000</v>
      </c>
      <c r="H13" s="220">
        <v>0.08</v>
      </c>
      <c r="I13" s="222">
        <v>0.05</v>
      </c>
      <c r="J13" s="392">
        <f t="shared" si="0"/>
        <v>420</v>
      </c>
      <c r="N13" s="255"/>
    </row>
    <row r="14" spans="1:17" ht="37.5" customHeight="1" x14ac:dyDescent="0.3">
      <c r="B14" s="958"/>
      <c r="C14" s="391" t="s">
        <v>39</v>
      </c>
      <c r="D14" s="954"/>
      <c r="E14" s="389" t="s">
        <v>225</v>
      </c>
      <c r="F14" s="220" t="s">
        <v>194</v>
      </c>
      <c r="G14" s="390">
        <v>2</v>
      </c>
      <c r="H14" s="220">
        <v>1</v>
      </c>
      <c r="I14" s="222">
        <v>0</v>
      </c>
      <c r="J14" s="392">
        <f t="shared" si="0"/>
        <v>2</v>
      </c>
      <c r="N14" s="255"/>
    </row>
    <row r="15" spans="1:17" ht="37.5" customHeight="1" x14ac:dyDescent="0.25">
      <c r="B15" s="958"/>
      <c r="C15" s="391" t="s">
        <v>41</v>
      </c>
      <c r="D15" s="954" t="s">
        <v>11</v>
      </c>
      <c r="E15" s="389" t="s">
        <v>1673</v>
      </c>
      <c r="F15" s="220" t="s">
        <v>12</v>
      </c>
      <c r="G15" s="390">
        <f>'اسعار المصنعيات'!D6</f>
        <v>210</v>
      </c>
      <c r="H15" s="220">
        <v>1</v>
      </c>
      <c r="I15" s="220">
        <v>0</v>
      </c>
      <c r="J15" s="392">
        <f t="shared" si="0"/>
        <v>210</v>
      </c>
    </row>
    <row r="16" spans="1:17" ht="37.5" customHeight="1" x14ac:dyDescent="0.25">
      <c r="B16" s="958"/>
      <c r="C16" s="391" t="s">
        <v>42</v>
      </c>
      <c r="D16" s="954"/>
      <c r="E16" s="389" t="s">
        <v>1674</v>
      </c>
      <c r="F16" s="220" t="s">
        <v>12</v>
      </c>
      <c r="G16" s="886">
        <v>45</v>
      </c>
      <c r="H16" s="220">
        <v>1</v>
      </c>
      <c r="I16" s="220">
        <v>0</v>
      </c>
      <c r="J16" s="392">
        <f t="shared" si="0"/>
        <v>45</v>
      </c>
      <c r="M16" s="258" t="s">
        <v>813</v>
      </c>
      <c r="N16" s="258" t="s">
        <v>814</v>
      </c>
    </row>
    <row r="17" spans="1:16" ht="37.5" customHeight="1" x14ac:dyDescent="0.25">
      <c r="B17" s="958"/>
      <c r="C17" s="391" t="s">
        <v>43</v>
      </c>
      <c r="D17" s="954"/>
      <c r="E17" s="389" t="s">
        <v>263</v>
      </c>
      <c r="F17" s="220" t="s">
        <v>12</v>
      </c>
      <c r="G17" s="390">
        <f>'اسعار الخامات'!E12</f>
        <v>13</v>
      </c>
      <c r="H17" s="220">
        <v>0.5</v>
      </c>
      <c r="I17" s="220">
        <v>0</v>
      </c>
      <c r="J17" s="392">
        <f t="shared" si="0"/>
        <v>6.5</v>
      </c>
      <c r="M17" s="258" t="s">
        <v>823</v>
      </c>
      <c r="N17" s="258" t="s">
        <v>824</v>
      </c>
    </row>
    <row r="18" spans="1:16" ht="37.5" customHeight="1" x14ac:dyDescent="0.25">
      <c r="B18" s="958"/>
      <c r="C18" s="391"/>
      <c r="D18" s="954" t="s">
        <v>16</v>
      </c>
      <c r="E18" s="389" t="s">
        <v>178</v>
      </c>
      <c r="F18" s="220" t="s">
        <v>12</v>
      </c>
      <c r="G18" s="390">
        <v>1</v>
      </c>
      <c r="H18" s="220">
        <v>1</v>
      </c>
      <c r="I18" s="220">
        <v>0</v>
      </c>
      <c r="J18" s="392">
        <f t="shared" si="0"/>
        <v>1</v>
      </c>
      <c r="M18" s="258" t="s">
        <v>825</v>
      </c>
      <c r="N18" s="258" t="s">
        <v>826</v>
      </c>
    </row>
    <row r="19" spans="1:16" ht="37.5" customHeight="1" x14ac:dyDescent="0.25">
      <c r="B19" s="958"/>
      <c r="C19" s="391"/>
      <c r="D19" s="954"/>
      <c r="E19" s="389" t="s">
        <v>1686</v>
      </c>
      <c r="F19" s="220" t="s">
        <v>12</v>
      </c>
      <c r="G19" s="390">
        <v>1</v>
      </c>
      <c r="H19" s="220">
        <v>1</v>
      </c>
      <c r="I19" s="220">
        <v>0</v>
      </c>
      <c r="J19" s="392">
        <f t="shared" si="0"/>
        <v>1</v>
      </c>
      <c r="M19" s="258" t="s">
        <v>827</v>
      </c>
      <c r="N19" s="258" t="s">
        <v>828</v>
      </c>
    </row>
    <row r="20" spans="1:16" ht="78" customHeight="1" x14ac:dyDescent="0.25">
      <c r="B20" s="955" t="s">
        <v>31</v>
      </c>
      <c r="C20" s="955"/>
      <c r="D20" s="955"/>
      <c r="E20" s="955"/>
      <c r="F20" s="955"/>
      <c r="G20" s="955"/>
      <c r="H20" s="955"/>
      <c r="I20" s="955"/>
      <c r="J20" s="912">
        <f>SUM(J9:J19)</f>
        <v>1040.48</v>
      </c>
      <c r="M20" s="258" t="s">
        <v>829</v>
      </c>
      <c r="N20" s="258" t="s">
        <v>830</v>
      </c>
    </row>
    <row r="21" spans="1:16" ht="33.75" customHeight="1" x14ac:dyDescent="0.25">
      <c r="D21" s="384"/>
      <c r="E21" s="384"/>
      <c r="F21" s="384"/>
      <c r="G21" s="384"/>
      <c r="H21" s="384"/>
      <c r="I21" s="384"/>
      <c r="J21" s="384"/>
      <c r="M21" s="258" t="s">
        <v>831</v>
      </c>
      <c r="N21" s="258" t="s">
        <v>832</v>
      </c>
    </row>
    <row r="22" spans="1:16" ht="52.5" customHeight="1" x14ac:dyDescent="0.25">
      <c r="A22" s="248"/>
      <c r="B22" s="246" t="s">
        <v>0</v>
      </c>
      <c r="C22" s="387" t="s">
        <v>1</v>
      </c>
      <c r="D22" s="953" t="s">
        <v>2</v>
      </c>
      <c r="E22" s="953"/>
      <c r="F22" s="387" t="s">
        <v>3</v>
      </c>
      <c r="G22" s="387" t="s">
        <v>4</v>
      </c>
      <c r="H22" s="387" t="s">
        <v>5</v>
      </c>
      <c r="I22" s="387" t="s">
        <v>6</v>
      </c>
      <c r="J22" s="388" t="s">
        <v>7</v>
      </c>
      <c r="M22" s="258" t="s">
        <v>834</v>
      </c>
      <c r="N22" s="258" t="s">
        <v>833</v>
      </c>
      <c r="O22" s="182" t="s">
        <v>810</v>
      </c>
      <c r="P22" s="257" t="s">
        <v>835</v>
      </c>
    </row>
    <row r="23" spans="1:16" ht="33" customHeight="1" x14ac:dyDescent="0.25">
      <c r="B23" s="958" t="s">
        <v>505</v>
      </c>
      <c r="C23" s="393" t="s">
        <v>290</v>
      </c>
      <c r="D23" s="956" t="s">
        <v>14</v>
      </c>
      <c r="E23" s="957" t="s">
        <v>291</v>
      </c>
      <c r="F23" s="956" t="s">
        <v>12</v>
      </c>
      <c r="G23" s="956">
        <f>'اسعار الخامات'!E6</f>
        <v>378</v>
      </c>
      <c r="H23" s="987">
        <v>1</v>
      </c>
      <c r="I23" s="988">
        <v>0.1</v>
      </c>
      <c r="J23" s="986">
        <f>G23*H23+(G23*H23*I23)</f>
        <v>415.8</v>
      </c>
      <c r="M23" s="258" t="s">
        <v>843</v>
      </c>
      <c r="N23" s="258" t="s">
        <v>844</v>
      </c>
      <c r="O23" s="182" t="s">
        <v>837</v>
      </c>
      <c r="P23" s="257" t="s">
        <v>836</v>
      </c>
    </row>
    <row r="24" spans="1:16" ht="52.5" x14ac:dyDescent="0.25">
      <c r="B24" s="958"/>
      <c r="C24" s="393" t="s">
        <v>33</v>
      </c>
      <c r="D24" s="956"/>
      <c r="E24" s="957"/>
      <c r="F24" s="956"/>
      <c r="G24" s="956"/>
      <c r="H24" s="987"/>
      <c r="I24" s="988"/>
      <c r="J24" s="986"/>
      <c r="M24" s="259" t="s">
        <v>845</v>
      </c>
      <c r="N24" s="258" t="s">
        <v>840</v>
      </c>
      <c r="O24" s="182" t="s">
        <v>841</v>
      </c>
      <c r="P24" s="182" t="s">
        <v>842</v>
      </c>
    </row>
    <row r="25" spans="1:16" x14ac:dyDescent="0.25">
      <c r="B25" s="958"/>
      <c r="C25" s="393" t="s">
        <v>34</v>
      </c>
      <c r="D25" s="956"/>
      <c r="E25" s="957"/>
      <c r="F25" s="956"/>
      <c r="G25" s="956"/>
      <c r="H25" s="987"/>
      <c r="I25" s="988"/>
      <c r="J25" s="986"/>
    </row>
    <row r="26" spans="1:16" ht="39" thickBot="1" x14ac:dyDescent="0.3">
      <c r="B26" s="958"/>
      <c r="C26" s="393" t="s">
        <v>35</v>
      </c>
      <c r="D26" s="956"/>
      <c r="E26" s="957"/>
      <c r="F26" s="956"/>
      <c r="G26" s="956"/>
      <c r="H26" s="987"/>
      <c r="I26" s="988"/>
      <c r="J26" s="986"/>
    </row>
    <row r="27" spans="1:16" x14ac:dyDescent="0.25">
      <c r="B27" s="958"/>
      <c r="C27" s="393" t="s">
        <v>36</v>
      </c>
      <c r="D27" s="956"/>
      <c r="E27" s="393" t="s">
        <v>38</v>
      </c>
      <c r="F27" s="223" t="s">
        <v>19</v>
      </c>
      <c r="G27" s="223">
        <f>'اسعار الخامات'!E13</f>
        <v>5000</v>
      </c>
      <c r="H27" s="223">
        <v>0.10199999999999999</v>
      </c>
      <c r="I27" s="394">
        <v>0.05</v>
      </c>
      <c r="J27" s="395">
        <f t="shared" ref="J27:J33" si="1">G27*H27+(G27*H27*I27)</f>
        <v>535.5</v>
      </c>
      <c r="M27" s="802" t="s">
        <v>937</v>
      </c>
    </row>
    <row r="28" spans="1:16" ht="83.25" x14ac:dyDescent="0.25">
      <c r="B28" s="958"/>
      <c r="C28" s="393" t="s">
        <v>622</v>
      </c>
      <c r="D28" s="956"/>
      <c r="E28" s="393" t="s">
        <v>225</v>
      </c>
      <c r="F28" s="223" t="s">
        <v>194</v>
      </c>
      <c r="G28" s="223">
        <v>2</v>
      </c>
      <c r="H28" s="223">
        <v>1</v>
      </c>
      <c r="I28" s="394">
        <v>0</v>
      </c>
      <c r="J28" s="395">
        <f t="shared" si="1"/>
        <v>2</v>
      </c>
      <c r="M28" s="799" t="s">
        <v>938</v>
      </c>
    </row>
    <row r="29" spans="1:16" ht="83.25" x14ac:dyDescent="0.25">
      <c r="B29" s="958"/>
      <c r="C29" s="393" t="s">
        <v>39</v>
      </c>
      <c r="D29" s="956"/>
      <c r="E29" s="393" t="s">
        <v>44</v>
      </c>
      <c r="F29" s="223" t="s">
        <v>12</v>
      </c>
      <c r="G29" s="223">
        <v>5.6</v>
      </c>
      <c r="H29" s="223">
        <v>1</v>
      </c>
      <c r="I29" s="223">
        <v>0</v>
      </c>
      <c r="J29" s="395">
        <f t="shared" si="1"/>
        <v>5.6</v>
      </c>
      <c r="M29" s="799" t="s">
        <v>939</v>
      </c>
    </row>
    <row r="30" spans="1:16" ht="83.25" x14ac:dyDescent="0.25">
      <c r="B30" s="958"/>
      <c r="C30" s="393" t="s">
        <v>41</v>
      </c>
      <c r="D30" s="956" t="s">
        <v>11</v>
      </c>
      <c r="E30" s="393" t="s">
        <v>40</v>
      </c>
      <c r="F30" s="223" t="s">
        <v>12</v>
      </c>
      <c r="G30" s="223">
        <f>'اسعار المصنعيات'!D6</f>
        <v>210</v>
      </c>
      <c r="H30" s="223">
        <v>1</v>
      </c>
      <c r="I30" s="223">
        <v>0</v>
      </c>
      <c r="J30" s="395">
        <f t="shared" si="1"/>
        <v>210</v>
      </c>
      <c r="M30" s="799" t="s">
        <v>940</v>
      </c>
    </row>
    <row r="31" spans="1:16" x14ac:dyDescent="0.25">
      <c r="B31" s="958"/>
      <c r="C31" s="393" t="s">
        <v>1172</v>
      </c>
      <c r="D31" s="956"/>
      <c r="E31" s="393" t="s">
        <v>263</v>
      </c>
      <c r="F31" s="223" t="s">
        <v>12</v>
      </c>
      <c r="G31" s="223">
        <f>'اسعار الخامات'!E12</f>
        <v>13</v>
      </c>
      <c r="H31" s="223">
        <v>0.5</v>
      </c>
      <c r="I31" s="223">
        <v>0</v>
      </c>
      <c r="J31" s="395">
        <f t="shared" si="1"/>
        <v>6.5</v>
      </c>
    </row>
    <row r="32" spans="1:16" x14ac:dyDescent="0.25">
      <c r="B32" s="958"/>
      <c r="C32" s="396" t="s">
        <v>43</v>
      </c>
      <c r="D32" s="956" t="s">
        <v>16</v>
      </c>
      <c r="E32" s="393" t="s">
        <v>178</v>
      </c>
      <c r="F32" s="223" t="s">
        <v>12</v>
      </c>
      <c r="G32" s="223">
        <v>1</v>
      </c>
      <c r="H32" s="223">
        <v>1</v>
      </c>
      <c r="I32" s="223">
        <v>0</v>
      </c>
      <c r="J32" s="395">
        <f t="shared" si="1"/>
        <v>1</v>
      </c>
    </row>
    <row r="33" spans="1:11" x14ac:dyDescent="0.25">
      <c r="B33" s="958"/>
      <c r="C33" s="393"/>
      <c r="D33" s="956"/>
      <c r="E33" s="389" t="s">
        <v>1686</v>
      </c>
      <c r="F33" s="223" t="s">
        <v>12</v>
      </c>
      <c r="G33" s="223">
        <v>1</v>
      </c>
      <c r="H33" s="223">
        <v>1</v>
      </c>
      <c r="I33" s="223">
        <v>0</v>
      </c>
      <c r="J33" s="395">
        <f t="shared" si="1"/>
        <v>1</v>
      </c>
    </row>
    <row r="34" spans="1:11" ht="75.75" customHeight="1" x14ac:dyDescent="0.25">
      <c r="B34" s="955" t="s">
        <v>31</v>
      </c>
      <c r="C34" s="955"/>
      <c r="D34" s="955"/>
      <c r="E34" s="955"/>
      <c r="F34" s="955"/>
      <c r="G34" s="955"/>
      <c r="H34" s="955"/>
      <c r="I34" s="955"/>
      <c r="J34" s="912">
        <f>SUM(J23:J33)</f>
        <v>1177.4000000000001</v>
      </c>
      <c r="K34" s="182">
        <f>J34*1.25</f>
        <v>1471.75</v>
      </c>
    </row>
    <row r="35" spans="1:11" ht="22.5" customHeight="1" thickBot="1" x14ac:dyDescent="0.3">
      <c r="A35" s="182"/>
      <c r="B35" s="182"/>
      <c r="C35" s="385"/>
      <c r="D35" s="385"/>
      <c r="E35" s="385"/>
      <c r="F35" s="385"/>
      <c r="G35" s="385"/>
      <c r="H35" s="385"/>
      <c r="I35" s="385"/>
      <c r="J35" s="385"/>
    </row>
    <row r="36" spans="1:11" ht="48" customHeight="1" thickBot="1" x14ac:dyDescent="0.3">
      <c r="A36" s="182"/>
      <c r="D36" s="989" t="s">
        <v>472</v>
      </c>
      <c r="E36" s="990"/>
      <c r="F36" s="990"/>
      <c r="G36" s="991"/>
      <c r="H36" s="385"/>
      <c r="I36" s="385"/>
      <c r="J36" s="385"/>
    </row>
    <row r="37" spans="1:11" ht="22.5" customHeight="1" x14ac:dyDescent="0.25">
      <c r="A37" s="182"/>
      <c r="B37" s="182"/>
      <c r="C37" s="385"/>
      <c r="D37" s="385"/>
      <c r="E37" s="385"/>
      <c r="F37" s="385"/>
      <c r="G37" s="385"/>
      <c r="H37" s="385"/>
      <c r="I37" s="385"/>
      <c r="J37" s="385"/>
    </row>
    <row r="38" spans="1:11" ht="57" customHeight="1" x14ac:dyDescent="0.25">
      <c r="A38" s="182"/>
      <c r="B38" s="246" t="s">
        <v>0</v>
      </c>
      <c r="C38" s="387" t="s">
        <v>1</v>
      </c>
      <c r="D38" s="953" t="s">
        <v>2</v>
      </c>
      <c r="E38" s="953"/>
      <c r="F38" s="387" t="s">
        <v>3</v>
      </c>
      <c r="G38" s="387" t="s">
        <v>4</v>
      </c>
      <c r="H38" s="387" t="s">
        <v>5</v>
      </c>
      <c r="I38" s="387" t="s">
        <v>6</v>
      </c>
      <c r="J38" s="388" t="s">
        <v>7</v>
      </c>
    </row>
    <row r="39" spans="1:11" ht="33" customHeight="1" x14ac:dyDescent="0.25">
      <c r="B39" s="958" t="s">
        <v>506</v>
      </c>
      <c r="C39" s="391" t="s">
        <v>33</v>
      </c>
      <c r="D39" s="954" t="s">
        <v>14</v>
      </c>
      <c r="E39" s="389" t="s">
        <v>18</v>
      </c>
      <c r="F39" s="220" t="s">
        <v>19</v>
      </c>
      <c r="G39" s="390">
        <f>'اسعار الخامات'!E7</f>
        <v>650</v>
      </c>
      <c r="H39" s="220">
        <v>0.35</v>
      </c>
      <c r="I39" s="222">
        <v>0.05</v>
      </c>
      <c r="J39" s="392">
        <f t="shared" ref="J39:J44" si="2">G39*H39+(G39*H39*I39)</f>
        <v>238.87499999999997</v>
      </c>
    </row>
    <row r="40" spans="1:11" x14ac:dyDescent="0.25">
      <c r="B40" s="958"/>
      <c r="C40" s="391" t="s">
        <v>511</v>
      </c>
      <c r="D40" s="954"/>
      <c r="E40" s="389" t="s">
        <v>21</v>
      </c>
      <c r="F40" s="220" t="s">
        <v>12</v>
      </c>
      <c r="G40" s="390">
        <f>'اسعار الخامات'!E8</f>
        <v>35</v>
      </c>
      <c r="H40" s="220">
        <v>0.4</v>
      </c>
      <c r="I40" s="222">
        <v>0.1</v>
      </c>
      <c r="J40" s="392">
        <f t="shared" si="2"/>
        <v>15.4</v>
      </c>
    </row>
    <row r="41" spans="1:11" x14ac:dyDescent="0.25">
      <c r="B41" s="958"/>
      <c r="C41" s="391" t="s">
        <v>35</v>
      </c>
      <c r="D41" s="954"/>
      <c r="E41" s="389" t="s">
        <v>23</v>
      </c>
      <c r="F41" s="220" t="s">
        <v>12</v>
      </c>
      <c r="G41" s="390">
        <f>'اسعار الخامات'!E10</f>
        <v>86</v>
      </c>
      <c r="H41" s="220">
        <v>0.8</v>
      </c>
      <c r="I41" s="222">
        <v>0.1</v>
      </c>
      <c r="J41" s="392">
        <f t="shared" si="2"/>
        <v>75.679999999999993</v>
      </c>
    </row>
    <row r="42" spans="1:11" x14ac:dyDescent="0.25">
      <c r="B42" s="958"/>
      <c r="C42" s="391" t="s">
        <v>36</v>
      </c>
      <c r="D42" s="954"/>
      <c r="E42" s="389" t="s">
        <v>15</v>
      </c>
      <c r="F42" s="220" t="s">
        <v>12</v>
      </c>
      <c r="G42" s="390">
        <f>'اسعار الخامات'!E12</f>
        <v>13</v>
      </c>
      <c r="H42" s="220">
        <v>1.75</v>
      </c>
      <c r="I42" s="222">
        <v>0.1</v>
      </c>
      <c r="J42" s="392">
        <f t="shared" si="2"/>
        <v>25.024999999999999</v>
      </c>
    </row>
    <row r="43" spans="1:11" x14ac:dyDescent="0.25">
      <c r="B43" s="958"/>
      <c r="C43" s="391" t="s">
        <v>37</v>
      </c>
      <c r="D43" s="954"/>
      <c r="E43" s="389" t="s">
        <v>38</v>
      </c>
      <c r="F43" s="220" t="s">
        <v>19</v>
      </c>
      <c r="G43" s="390">
        <f>'اسعار الخامات'!E13</f>
        <v>5000</v>
      </c>
      <c r="H43" s="220">
        <v>0.15</v>
      </c>
      <c r="I43" s="222">
        <v>7.0000000000000007E-2</v>
      </c>
      <c r="J43" s="392">
        <f t="shared" si="2"/>
        <v>802.5</v>
      </c>
    </row>
    <row r="44" spans="1:11" x14ac:dyDescent="0.25">
      <c r="B44" s="958"/>
      <c r="C44" s="391" t="s">
        <v>39</v>
      </c>
      <c r="D44" s="954"/>
      <c r="E44" s="389" t="s">
        <v>225</v>
      </c>
      <c r="F44" s="220" t="s">
        <v>194</v>
      </c>
      <c r="G44" s="390">
        <v>3</v>
      </c>
      <c r="H44" s="220">
        <v>1</v>
      </c>
      <c r="I44" s="222">
        <v>0</v>
      </c>
      <c r="J44" s="392">
        <f t="shared" si="2"/>
        <v>3</v>
      </c>
    </row>
    <row r="45" spans="1:11" x14ac:dyDescent="0.25">
      <c r="B45" s="958"/>
      <c r="C45" s="391" t="s">
        <v>41</v>
      </c>
      <c r="D45" s="954"/>
      <c r="E45" s="389" t="s">
        <v>44</v>
      </c>
      <c r="F45" s="220" t="s">
        <v>12</v>
      </c>
      <c r="G45" s="390">
        <v>5.6</v>
      </c>
      <c r="H45" s="220">
        <v>1</v>
      </c>
      <c r="I45" s="220">
        <v>0</v>
      </c>
      <c r="J45" s="392">
        <f t="shared" ref="J45:J49" si="3">G45*H45+(G45*H45*I45)</f>
        <v>5.6</v>
      </c>
    </row>
    <row r="46" spans="1:11" x14ac:dyDescent="0.25">
      <c r="B46" s="958"/>
      <c r="C46" s="391" t="s">
        <v>42</v>
      </c>
      <c r="D46" s="954" t="s">
        <v>11</v>
      </c>
      <c r="E46" s="389" t="s">
        <v>40</v>
      </c>
      <c r="F46" s="220" t="s">
        <v>12</v>
      </c>
      <c r="G46" s="390">
        <f>'اسعار المصنعيات'!D6</f>
        <v>210</v>
      </c>
      <c r="H46" s="220">
        <v>1</v>
      </c>
      <c r="I46" s="220">
        <v>0</v>
      </c>
      <c r="J46" s="392">
        <f t="shared" si="3"/>
        <v>210</v>
      </c>
    </row>
    <row r="47" spans="1:11" x14ac:dyDescent="0.25">
      <c r="B47" s="958"/>
      <c r="C47" s="391" t="s">
        <v>43</v>
      </c>
      <c r="D47" s="954"/>
      <c r="E47" s="389" t="s">
        <v>263</v>
      </c>
      <c r="F47" s="220" t="s">
        <v>12</v>
      </c>
      <c r="G47" s="390">
        <f>'اسعار الخامات'!E12</f>
        <v>13</v>
      </c>
      <c r="H47" s="220">
        <v>0.5</v>
      </c>
      <c r="I47" s="220">
        <v>0</v>
      </c>
      <c r="J47" s="392">
        <f t="shared" si="3"/>
        <v>6.5</v>
      </c>
    </row>
    <row r="48" spans="1:11" x14ac:dyDescent="0.25">
      <c r="B48" s="958"/>
      <c r="C48" s="391"/>
      <c r="D48" s="954" t="s">
        <v>16</v>
      </c>
      <c r="E48" s="389" t="s">
        <v>178</v>
      </c>
      <c r="F48" s="220" t="s">
        <v>12</v>
      </c>
      <c r="G48" s="390">
        <v>1</v>
      </c>
      <c r="H48" s="220">
        <v>1</v>
      </c>
      <c r="I48" s="220">
        <v>0</v>
      </c>
      <c r="J48" s="392">
        <f t="shared" si="3"/>
        <v>1</v>
      </c>
    </row>
    <row r="49" spans="1:12" x14ac:dyDescent="0.25">
      <c r="B49" s="958"/>
      <c r="C49" s="391"/>
      <c r="D49" s="954"/>
      <c r="E49" s="389" t="s">
        <v>1686</v>
      </c>
      <c r="F49" s="220" t="s">
        <v>12</v>
      </c>
      <c r="G49" s="390">
        <v>1.3</v>
      </c>
      <c r="H49" s="220">
        <v>1</v>
      </c>
      <c r="I49" s="220">
        <v>0</v>
      </c>
      <c r="J49" s="392">
        <f t="shared" si="3"/>
        <v>1.3</v>
      </c>
    </row>
    <row r="50" spans="1:12" ht="75.75" customHeight="1" x14ac:dyDescent="0.25">
      <c r="B50" s="955" t="s">
        <v>31</v>
      </c>
      <c r="C50" s="955"/>
      <c r="D50" s="955"/>
      <c r="E50" s="955"/>
      <c r="F50" s="955"/>
      <c r="G50" s="955"/>
      <c r="H50" s="955"/>
      <c r="I50" s="955"/>
      <c r="J50" s="912">
        <f>SUM(J39:J49)</f>
        <v>1384.8799999999999</v>
      </c>
    </row>
    <row r="51" spans="1:12" s="385" customFormat="1" ht="30.75" customHeight="1" x14ac:dyDescent="0.25">
      <c r="K51" s="182"/>
      <c r="L51" s="182"/>
    </row>
    <row r="52" spans="1:12" ht="57" customHeight="1" x14ac:dyDescent="0.25">
      <c r="A52" s="182"/>
      <c r="B52" s="246" t="s">
        <v>0</v>
      </c>
      <c r="C52" s="387" t="s">
        <v>1</v>
      </c>
      <c r="D52" s="953" t="s">
        <v>2</v>
      </c>
      <c r="E52" s="953"/>
      <c r="F52" s="387" t="s">
        <v>3</v>
      </c>
      <c r="G52" s="387" t="s">
        <v>4</v>
      </c>
      <c r="H52" s="387" t="s">
        <v>5</v>
      </c>
      <c r="I52" s="387" t="s">
        <v>6</v>
      </c>
      <c r="J52" s="388" t="s">
        <v>7</v>
      </c>
    </row>
    <row r="53" spans="1:12" ht="33" customHeight="1" x14ac:dyDescent="0.25">
      <c r="B53" s="958" t="s">
        <v>507</v>
      </c>
      <c r="C53" s="397" t="s">
        <v>456</v>
      </c>
      <c r="D53" s="390"/>
      <c r="E53" s="390"/>
      <c r="F53" s="390"/>
      <c r="G53" s="390"/>
      <c r="H53" s="390"/>
      <c r="I53" s="390"/>
      <c r="J53" s="398"/>
    </row>
    <row r="54" spans="1:12" x14ac:dyDescent="0.25">
      <c r="B54" s="958"/>
      <c r="C54" s="393" t="s">
        <v>290</v>
      </c>
      <c r="D54" s="956" t="s">
        <v>14</v>
      </c>
      <c r="E54" s="957" t="s">
        <v>291</v>
      </c>
      <c r="F54" s="956" t="s">
        <v>12</v>
      </c>
      <c r="G54" s="956">
        <f>'اسعار الخامات'!E6</f>
        <v>378</v>
      </c>
      <c r="H54" s="987">
        <v>1</v>
      </c>
      <c r="I54" s="988">
        <v>0.1</v>
      </c>
      <c r="J54" s="986">
        <f>G54*H54+(G54*H54*I54)</f>
        <v>415.8</v>
      </c>
    </row>
    <row r="55" spans="1:12" x14ac:dyDescent="0.25">
      <c r="B55" s="958"/>
      <c r="C55" s="393" t="s">
        <v>33</v>
      </c>
      <c r="D55" s="956"/>
      <c r="E55" s="957"/>
      <c r="F55" s="956"/>
      <c r="G55" s="956"/>
      <c r="H55" s="987"/>
      <c r="I55" s="988"/>
      <c r="J55" s="986"/>
    </row>
    <row r="56" spans="1:12" x14ac:dyDescent="0.25">
      <c r="B56" s="958"/>
      <c r="C56" s="393" t="s">
        <v>511</v>
      </c>
      <c r="D56" s="956"/>
      <c r="E56" s="957"/>
      <c r="F56" s="956"/>
      <c r="G56" s="956"/>
      <c r="H56" s="987"/>
      <c r="I56" s="988"/>
      <c r="J56" s="986"/>
    </row>
    <row r="57" spans="1:12" x14ac:dyDescent="0.25">
      <c r="B57" s="958"/>
      <c r="C57" s="393" t="s">
        <v>35</v>
      </c>
      <c r="D57" s="956"/>
      <c r="E57" s="957"/>
      <c r="F57" s="956"/>
      <c r="G57" s="956"/>
      <c r="H57" s="987"/>
      <c r="I57" s="988"/>
      <c r="J57" s="986"/>
    </row>
    <row r="58" spans="1:12" x14ac:dyDescent="0.25">
      <c r="B58" s="958"/>
      <c r="C58" s="393" t="s">
        <v>36</v>
      </c>
      <c r="D58" s="956"/>
      <c r="E58" s="393" t="s">
        <v>38</v>
      </c>
      <c r="F58" s="223" t="s">
        <v>19</v>
      </c>
      <c r="G58" s="223">
        <f>'اسعار الخامات'!E13</f>
        <v>5000</v>
      </c>
      <c r="H58" s="223">
        <v>0.16</v>
      </c>
      <c r="I58" s="394">
        <v>7.0000000000000007E-2</v>
      </c>
      <c r="J58" s="395">
        <f t="shared" ref="J58:J64" si="4">G58*H58+(G58*H58*I58)</f>
        <v>856</v>
      </c>
    </row>
    <row r="59" spans="1:12" x14ac:dyDescent="0.25">
      <c r="B59" s="958"/>
      <c r="C59" s="393" t="s">
        <v>37</v>
      </c>
      <c r="D59" s="956"/>
      <c r="E59" s="393" t="s">
        <v>225</v>
      </c>
      <c r="F59" s="223" t="s">
        <v>194</v>
      </c>
      <c r="G59" s="223">
        <v>3</v>
      </c>
      <c r="H59" s="223">
        <v>1</v>
      </c>
      <c r="I59" s="394">
        <v>0</v>
      </c>
      <c r="J59" s="395">
        <f t="shared" si="4"/>
        <v>3</v>
      </c>
    </row>
    <row r="60" spans="1:12" x14ac:dyDescent="0.25">
      <c r="B60" s="958"/>
      <c r="C60" s="393" t="s">
        <v>39</v>
      </c>
      <c r="D60" s="956"/>
      <c r="E60" s="393" t="s">
        <v>44</v>
      </c>
      <c r="F60" s="223" t="s">
        <v>12</v>
      </c>
      <c r="G60" s="223">
        <v>8</v>
      </c>
      <c r="H60" s="223">
        <v>1</v>
      </c>
      <c r="I60" s="223">
        <v>0</v>
      </c>
      <c r="J60" s="395">
        <f t="shared" si="4"/>
        <v>8</v>
      </c>
    </row>
    <row r="61" spans="1:12" x14ac:dyDescent="0.25">
      <c r="B61" s="958"/>
      <c r="C61" s="393" t="s">
        <v>41</v>
      </c>
      <c r="D61" s="956" t="s">
        <v>11</v>
      </c>
      <c r="E61" s="393" t="s">
        <v>40</v>
      </c>
      <c r="F61" s="223" t="s">
        <v>12</v>
      </c>
      <c r="G61" s="223">
        <f>'اسعار المصنعيات'!D6</f>
        <v>210</v>
      </c>
      <c r="H61" s="223">
        <v>1</v>
      </c>
      <c r="I61" s="223">
        <v>0</v>
      </c>
      <c r="J61" s="395">
        <f t="shared" si="4"/>
        <v>210</v>
      </c>
    </row>
    <row r="62" spans="1:12" x14ac:dyDescent="0.25">
      <c r="B62" s="958"/>
      <c r="C62" s="393" t="s">
        <v>42</v>
      </c>
      <c r="D62" s="956"/>
      <c r="E62" s="393" t="s">
        <v>263</v>
      </c>
      <c r="F62" s="223" t="s">
        <v>12</v>
      </c>
      <c r="G62" s="223">
        <f>'اسعار الخامات'!E12</f>
        <v>13</v>
      </c>
      <c r="H62" s="223">
        <v>0.5</v>
      </c>
      <c r="I62" s="223">
        <v>0</v>
      </c>
      <c r="J62" s="395">
        <f t="shared" si="4"/>
        <v>6.5</v>
      </c>
    </row>
    <row r="63" spans="1:12" x14ac:dyDescent="0.25">
      <c r="B63" s="958"/>
      <c r="C63" s="393" t="s">
        <v>43</v>
      </c>
      <c r="D63" s="956" t="s">
        <v>16</v>
      </c>
      <c r="E63" s="393" t="s">
        <v>178</v>
      </c>
      <c r="F63" s="223" t="s">
        <v>12</v>
      </c>
      <c r="G63" s="223">
        <v>1</v>
      </c>
      <c r="H63" s="223">
        <v>1</v>
      </c>
      <c r="I63" s="223">
        <v>0</v>
      </c>
      <c r="J63" s="395">
        <f t="shared" si="4"/>
        <v>1</v>
      </c>
    </row>
    <row r="64" spans="1:12" x14ac:dyDescent="0.25">
      <c r="B64" s="243"/>
      <c r="C64" s="393"/>
      <c r="D64" s="956"/>
      <c r="E64" s="389" t="s">
        <v>1686</v>
      </c>
      <c r="F64" s="223" t="s">
        <v>12</v>
      </c>
      <c r="G64" s="223">
        <v>1.3</v>
      </c>
      <c r="H64" s="223">
        <v>1</v>
      </c>
      <c r="I64" s="223">
        <v>0</v>
      </c>
      <c r="J64" s="395">
        <f t="shared" si="4"/>
        <v>1.3</v>
      </c>
    </row>
    <row r="65" spans="1:14" ht="75.75" customHeight="1" x14ac:dyDescent="0.25">
      <c r="B65" s="955" t="s">
        <v>31</v>
      </c>
      <c r="C65" s="955"/>
      <c r="D65" s="955"/>
      <c r="E65" s="955"/>
      <c r="F65" s="955"/>
      <c r="G65" s="955"/>
      <c r="H65" s="955"/>
      <c r="I65" s="955"/>
      <c r="J65" s="912">
        <f>SUM(J54:J64)</f>
        <v>1501.6</v>
      </c>
      <c r="K65" s="182">
        <f>J65*1.25</f>
        <v>1877</v>
      </c>
    </row>
    <row r="66" spans="1:14" ht="22.5" customHeight="1" thickBot="1" x14ac:dyDescent="0.3">
      <c r="A66" s="182"/>
      <c r="B66" s="182"/>
      <c r="C66" s="385"/>
      <c r="D66" s="385"/>
      <c r="E66" s="385"/>
      <c r="F66" s="385"/>
      <c r="G66" s="385"/>
      <c r="H66" s="385"/>
      <c r="I66" s="385"/>
      <c r="J66" s="385"/>
    </row>
    <row r="67" spans="1:14" ht="52.5" customHeight="1" thickBot="1" x14ac:dyDescent="0.3">
      <c r="A67" s="182"/>
      <c r="B67" s="182"/>
      <c r="C67" s="385"/>
      <c r="D67" s="989" t="s">
        <v>508</v>
      </c>
      <c r="E67" s="990"/>
      <c r="F67" s="991"/>
      <c r="G67" s="385"/>
      <c r="H67" s="385"/>
      <c r="I67" s="385"/>
      <c r="J67" s="385"/>
    </row>
    <row r="68" spans="1:14" ht="22.5" customHeight="1" x14ac:dyDescent="0.25">
      <c r="A68" s="182"/>
      <c r="B68" s="182"/>
      <c r="C68" s="385"/>
      <c r="D68" s="385"/>
      <c r="E68" s="385"/>
      <c r="F68" s="385"/>
      <c r="G68" s="385"/>
      <c r="H68" s="385"/>
      <c r="I68" s="385"/>
      <c r="J68" s="385"/>
    </row>
    <row r="69" spans="1:14" ht="57" customHeight="1" x14ac:dyDescent="0.25">
      <c r="A69" s="182"/>
      <c r="B69" s="246" t="s">
        <v>0</v>
      </c>
      <c r="C69" s="387" t="s">
        <v>1</v>
      </c>
      <c r="D69" s="953" t="s">
        <v>2</v>
      </c>
      <c r="E69" s="953"/>
      <c r="F69" s="387" t="s">
        <v>3</v>
      </c>
      <c r="G69" s="387" t="s">
        <v>4</v>
      </c>
      <c r="H69" s="387" t="s">
        <v>5</v>
      </c>
      <c r="I69" s="387" t="s">
        <v>6</v>
      </c>
      <c r="J69" s="388" t="s">
        <v>7</v>
      </c>
    </row>
    <row r="70" spans="1:14" x14ac:dyDescent="0.25">
      <c r="B70" s="241"/>
      <c r="C70" s="397" t="s">
        <v>457</v>
      </c>
      <c r="D70" s="399"/>
      <c r="E70" s="399"/>
      <c r="F70" s="399"/>
      <c r="G70" s="399"/>
      <c r="H70" s="399"/>
      <c r="I70" s="399"/>
      <c r="J70" s="400"/>
    </row>
    <row r="71" spans="1:14" ht="33" customHeight="1" x14ac:dyDescent="0.25">
      <c r="B71" s="958" t="s">
        <v>509</v>
      </c>
      <c r="C71" s="391" t="s">
        <v>33</v>
      </c>
      <c r="D71" s="954" t="s">
        <v>14</v>
      </c>
      <c r="E71" s="389" t="s">
        <v>18</v>
      </c>
      <c r="F71" s="220" t="s">
        <v>19</v>
      </c>
      <c r="G71" s="390">
        <f>'اسعار الخامات'!E7</f>
        <v>650</v>
      </c>
      <c r="H71" s="220">
        <v>0.35</v>
      </c>
      <c r="I71" s="222">
        <v>0.05</v>
      </c>
      <c r="J71" s="392">
        <f t="shared" ref="J71:J81" si="5">G71*H71+(G71*H71*I71)</f>
        <v>238.87499999999997</v>
      </c>
    </row>
    <row r="72" spans="1:14" x14ac:dyDescent="0.25">
      <c r="B72" s="958"/>
      <c r="C72" s="391" t="s">
        <v>223</v>
      </c>
      <c r="D72" s="954"/>
      <c r="E72" s="389" t="s">
        <v>21</v>
      </c>
      <c r="F72" s="220" t="s">
        <v>12</v>
      </c>
      <c r="G72" s="390">
        <f>'اسعار الخامات'!E8</f>
        <v>35</v>
      </c>
      <c r="H72" s="220">
        <v>0.4</v>
      </c>
      <c r="I72" s="222">
        <v>0.1</v>
      </c>
      <c r="J72" s="392">
        <f t="shared" si="5"/>
        <v>15.4</v>
      </c>
      <c r="M72" s="888" t="s">
        <v>1676</v>
      </c>
      <c r="N72" s="888">
        <v>210</v>
      </c>
    </row>
    <row r="73" spans="1:14" x14ac:dyDescent="0.25">
      <c r="B73" s="958"/>
      <c r="C73" s="391" t="s">
        <v>35</v>
      </c>
      <c r="D73" s="954"/>
      <c r="E73" s="389" t="s">
        <v>23</v>
      </c>
      <c r="F73" s="220" t="s">
        <v>12</v>
      </c>
      <c r="G73" s="390">
        <f>'اسعار الخامات'!E10</f>
        <v>86</v>
      </c>
      <c r="H73" s="220">
        <v>0.8</v>
      </c>
      <c r="I73" s="222">
        <v>0.1</v>
      </c>
      <c r="J73" s="392">
        <f t="shared" si="5"/>
        <v>75.679999999999993</v>
      </c>
      <c r="M73" s="888" t="s">
        <v>1677</v>
      </c>
      <c r="N73" s="888">
        <v>220</v>
      </c>
    </row>
    <row r="74" spans="1:14" x14ac:dyDescent="0.25">
      <c r="B74" s="958"/>
      <c r="C74" s="391" t="s">
        <v>36</v>
      </c>
      <c r="D74" s="954"/>
      <c r="E74" s="389" t="s">
        <v>15</v>
      </c>
      <c r="F74" s="220" t="s">
        <v>12</v>
      </c>
      <c r="G74" s="390">
        <f>'اسعار الخامات'!E12</f>
        <v>13</v>
      </c>
      <c r="H74" s="220">
        <v>1.75</v>
      </c>
      <c r="I74" s="222">
        <v>0.1</v>
      </c>
      <c r="J74" s="392">
        <f t="shared" si="5"/>
        <v>25.024999999999999</v>
      </c>
      <c r="M74" s="888" t="s">
        <v>1678</v>
      </c>
      <c r="N74" s="888">
        <v>230</v>
      </c>
    </row>
    <row r="75" spans="1:14" x14ac:dyDescent="0.25">
      <c r="B75" s="958"/>
      <c r="C75" s="391" t="s">
        <v>37</v>
      </c>
      <c r="D75" s="954"/>
      <c r="E75" s="389" t="s">
        <v>38</v>
      </c>
      <c r="F75" s="220" t="s">
        <v>19</v>
      </c>
      <c r="G75" s="887">
        <v>5250</v>
      </c>
      <c r="H75" s="401">
        <v>0.12</v>
      </c>
      <c r="I75" s="222">
        <v>0.05</v>
      </c>
      <c r="J75" s="392">
        <f t="shared" si="5"/>
        <v>661.5</v>
      </c>
      <c r="M75" s="888" t="s">
        <v>1679</v>
      </c>
      <c r="N75" s="888">
        <v>240</v>
      </c>
    </row>
    <row r="76" spans="1:14" x14ac:dyDescent="0.25">
      <c r="B76" s="958"/>
      <c r="C76" s="391" t="s">
        <v>39</v>
      </c>
      <c r="D76" s="954"/>
      <c r="E76" s="389" t="s">
        <v>225</v>
      </c>
      <c r="F76" s="220" t="s">
        <v>194</v>
      </c>
      <c r="G76" s="390">
        <v>3</v>
      </c>
      <c r="H76" s="220">
        <v>1</v>
      </c>
      <c r="I76" s="222">
        <v>0</v>
      </c>
      <c r="J76" s="392">
        <f t="shared" si="5"/>
        <v>3</v>
      </c>
      <c r="M76" s="888" t="s">
        <v>1680</v>
      </c>
      <c r="N76" s="888">
        <v>250</v>
      </c>
    </row>
    <row r="77" spans="1:14" x14ac:dyDescent="0.25">
      <c r="B77" s="958"/>
      <c r="C77" s="391" t="s">
        <v>41</v>
      </c>
      <c r="D77" s="954" t="s">
        <v>11</v>
      </c>
      <c r="E77" s="389" t="s">
        <v>1675</v>
      </c>
      <c r="F77" s="220" t="s">
        <v>12</v>
      </c>
      <c r="G77" s="390">
        <v>235</v>
      </c>
      <c r="H77" s="220">
        <v>1</v>
      </c>
      <c r="I77" s="220">
        <v>0</v>
      </c>
      <c r="J77" s="392">
        <f t="shared" si="5"/>
        <v>235</v>
      </c>
      <c r="M77" s="888" t="s">
        <v>1681</v>
      </c>
      <c r="N77" s="888">
        <v>260</v>
      </c>
    </row>
    <row r="78" spans="1:14" x14ac:dyDescent="0.25">
      <c r="B78" s="958"/>
      <c r="C78" s="391" t="s">
        <v>42</v>
      </c>
      <c r="D78" s="954"/>
      <c r="E78" s="389" t="s">
        <v>1674</v>
      </c>
      <c r="F78" s="220" t="s">
        <v>12</v>
      </c>
      <c r="G78" s="886">
        <v>57.5</v>
      </c>
      <c r="H78" s="220">
        <v>1</v>
      </c>
      <c r="I78" s="220"/>
      <c r="J78" s="392">
        <f t="shared" si="5"/>
        <v>57.5</v>
      </c>
    </row>
    <row r="79" spans="1:14" x14ac:dyDescent="0.25">
      <c r="B79" s="958"/>
      <c r="C79" s="391" t="s">
        <v>43</v>
      </c>
      <c r="D79" s="954"/>
      <c r="E79" s="389" t="s">
        <v>263</v>
      </c>
      <c r="F79" s="220" t="s">
        <v>12</v>
      </c>
      <c r="G79" s="390">
        <f>'اسعار الخامات'!E12</f>
        <v>13</v>
      </c>
      <c r="H79" s="220">
        <v>0.5</v>
      </c>
      <c r="I79" s="220">
        <v>0</v>
      </c>
      <c r="J79" s="392">
        <f t="shared" si="5"/>
        <v>6.5</v>
      </c>
    </row>
    <row r="80" spans="1:14" x14ac:dyDescent="0.25">
      <c r="B80" s="958"/>
      <c r="C80" s="391"/>
      <c r="D80" s="954" t="s">
        <v>16</v>
      </c>
      <c r="E80" s="389" t="s">
        <v>178</v>
      </c>
      <c r="F80" s="220" t="s">
        <v>12</v>
      </c>
      <c r="G80" s="390">
        <v>1</v>
      </c>
      <c r="H80" s="220">
        <v>1</v>
      </c>
      <c r="I80" s="220">
        <v>0</v>
      </c>
      <c r="J80" s="392">
        <f t="shared" si="5"/>
        <v>1</v>
      </c>
    </row>
    <row r="81" spans="1:12" x14ac:dyDescent="0.25">
      <c r="B81" s="958"/>
      <c r="C81" s="391"/>
      <c r="D81" s="954"/>
      <c r="E81" s="389" t="s">
        <v>1686</v>
      </c>
      <c r="F81" s="220" t="s">
        <v>12</v>
      </c>
      <c r="G81" s="390">
        <v>1.3</v>
      </c>
      <c r="H81" s="220">
        <v>1</v>
      </c>
      <c r="I81" s="220">
        <v>0</v>
      </c>
      <c r="J81" s="392">
        <f t="shared" si="5"/>
        <v>1.3</v>
      </c>
    </row>
    <row r="82" spans="1:12" ht="75.75" customHeight="1" x14ac:dyDescent="0.25">
      <c r="B82" s="955" t="s">
        <v>31</v>
      </c>
      <c r="C82" s="955"/>
      <c r="D82" s="955"/>
      <c r="E82" s="955"/>
      <c r="F82" s="955"/>
      <c r="G82" s="955"/>
      <c r="H82" s="955"/>
      <c r="I82" s="955"/>
      <c r="J82" s="912">
        <f>SUM(J71:J81)</f>
        <v>1320.78</v>
      </c>
    </row>
    <row r="83" spans="1:12" s="385" customFormat="1" ht="30.75" customHeight="1" x14ac:dyDescent="0.25">
      <c r="L83" s="182"/>
    </row>
    <row r="84" spans="1:12" ht="57" customHeight="1" x14ac:dyDescent="0.25">
      <c r="A84" s="182"/>
      <c r="B84" s="246" t="s">
        <v>0</v>
      </c>
      <c r="C84" s="387" t="s">
        <v>1</v>
      </c>
      <c r="D84" s="953" t="s">
        <v>2</v>
      </c>
      <c r="E84" s="953"/>
      <c r="F84" s="387" t="s">
        <v>3</v>
      </c>
      <c r="G84" s="387" t="s">
        <v>4</v>
      </c>
      <c r="H84" s="387" t="s">
        <v>5</v>
      </c>
      <c r="I84" s="387" t="s">
        <v>6</v>
      </c>
      <c r="J84" s="388" t="s">
        <v>7</v>
      </c>
    </row>
    <row r="85" spans="1:12" x14ac:dyDescent="0.25">
      <c r="B85" s="239"/>
      <c r="C85" s="397" t="s">
        <v>457</v>
      </c>
      <c r="D85" s="390"/>
      <c r="E85" s="390"/>
      <c r="F85" s="390"/>
      <c r="G85" s="390"/>
      <c r="H85" s="390"/>
      <c r="I85" s="390"/>
      <c r="J85" s="398"/>
    </row>
    <row r="86" spans="1:12" ht="33" customHeight="1" x14ac:dyDescent="0.25">
      <c r="B86" s="958" t="s">
        <v>510</v>
      </c>
      <c r="C86" s="393" t="s">
        <v>290</v>
      </c>
      <c r="D86" s="956" t="s">
        <v>14</v>
      </c>
      <c r="E86" s="957" t="s">
        <v>291</v>
      </c>
      <c r="F86" s="956" t="s">
        <v>12</v>
      </c>
      <c r="G86" s="956">
        <f>'اسعار الخامات'!E6</f>
        <v>378</v>
      </c>
      <c r="H86" s="987">
        <v>1</v>
      </c>
      <c r="I86" s="988">
        <v>0.1</v>
      </c>
      <c r="J86" s="986">
        <f>G86*H86+(G86*H86*I86)</f>
        <v>415.8</v>
      </c>
    </row>
    <row r="87" spans="1:12" x14ac:dyDescent="0.25">
      <c r="B87" s="958"/>
      <c r="C87" s="393" t="s">
        <v>33</v>
      </c>
      <c r="D87" s="956"/>
      <c r="E87" s="957"/>
      <c r="F87" s="956"/>
      <c r="G87" s="956"/>
      <c r="H87" s="987"/>
      <c r="I87" s="988"/>
      <c r="J87" s="986"/>
    </row>
    <row r="88" spans="1:12" x14ac:dyDescent="0.25">
      <c r="B88" s="958"/>
      <c r="C88" s="393" t="s">
        <v>223</v>
      </c>
      <c r="D88" s="956"/>
      <c r="E88" s="957"/>
      <c r="F88" s="956"/>
      <c r="G88" s="956"/>
      <c r="H88" s="987"/>
      <c r="I88" s="988"/>
      <c r="J88" s="986"/>
    </row>
    <row r="89" spans="1:12" x14ac:dyDescent="0.25">
      <c r="B89" s="958"/>
      <c r="C89" s="393" t="s">
        <v>35</v>
      </c>
      <c r="D89" s="956"/>
      <c r="E89" s="957"/>
      <c r="F89" s="956"/>
      <c r="G89" s="956"/>
      <c r="H89" s="987"/>
      <c r="I89" s="988"/>
      <c r="J89" s="986"/>
    </row>
    <row r="90" spans="1:12" x14ac:dyDescent="0.25">
      <c r="B90" s="958"/>
      <c r="C90" s="393" t="s">
        <v>36</v>
      </c>
      <c r="D90" s="956"/>
      <c r="E90" s="393" t="s">
        <v>38</v>
      </c>
      <c r="F90" s="223" t="s">
        <v>19</v>
      </c>
      <c r="G90" s="223">
        <f>'اسعار الخامات'!E13</f>
        <v>5000</v>
      </c>
      <c r="H90" s="223">
        <v>0.12</v>
      </c>
      <c r="I90" s="394">
        <v>0.05</v>
      </c>
      <c r="J90" s="395">
        <f t="shared" ref="J90:J96" si="6">G90*H90+(G90*H90*I90)</f>
        <v>630</v>
      </c>
    </row>
    <row r="91" spans="1:12" x14ac:dyDescent="0.25">
      <c r="B91" s="958"/>
      <c r="C91" s="393" t="s">
        <v>37</v>
      </c>
      <c r="D91" s="956"/>
      <c r="E91" s="393" t="s">
        <v>225</v>
      </c>
      <c r="F91" s="223" t="s">
        <v>194</v>
      </c>
      <c r="G91" s="223">
        <v>3</v>
      </c>
      <c r="H91" s="223">
        <v>1</v>
      </c>
      <c r="I91" s="394">
        <v>0</v>
      </c>
      <c r="J91" s="395">
        <f t="shared" si="6"/>
        <v>3</v>
      </c>
    </row>
    <row r="92" spans="1:12" x14ac:dyDescent="0.25">
      <c r="B92" s="958"/>
      <c r="C92" s="393" t="s">
        <v>39</v>
      </c>
      <c r="D92" s="956"/>
      <c r="E92" s="393" t="s">
        <v>44</v>
      </c>
      <c r="F92" s="223" t="s">
        <v>12</v>
      </c>
      <c r="G92" s="223">
        <v>5.6</v>
      </c>
      <c r="H92" s="223">
        <v>1</v>
      </c>
      <c r="I92" s="223">
        <v>0</v>
      </c>
      <c r="J92" s="395">
        <f t="shared" si="6"/>
        <v>5.6</v>
      </c>
    </row>
    <row r="93" spans="1:12" x14ac:dyDescent="0.25">
      <c r="B93" s="958"/>
      <c r="C93" s="393" t="s">
        <v>41</v>
      </c>
      <c r="D93" s="956" t="s">
        <v>11</v>
      </c>
      <c r="E93" s="393" t="s">
        <v>40</v>
      </c>
      <c r="F93" s="223" t="s">
        <v>12</v>
      </c>
      <c r="G93" s="223">
        <f>'اسعار المصنعيات'!D6</f>
        <v>210</v>
      </c>
      <c r="H93" s="223">
        <v>1</v>
      </c>
      <c r="I93" s="223">
        <v>0</v>
      </c>
      <c r="J93" s="395">
        <f t="shared" si="6"/>
        <v>210</v>
      </c>
    </row>
    <row r="94" spans="1:12" x14ac:dyDescent="0.25">
      <c r="B94" s="958"/>
      <c r="C94" s="393" t="s">
        <v>42</v>
      </c>
      <c r="D94" s="956"/>
      <c r="E94" s="393" t="s">
        <v>263</v>
      </c>
      <c r="F94" s="223" t="s">
        <v>12</v>
      </c>
      <c r="G94" s="223">
        <f>'اسعار الخامات'!E12</f>
        <v>13</v>
      </c>
      <c r="H94" s="223">
        <v>0.5</v>
      </c>
      <c r="I94" s="223">
        <v>0</v>
      </c>
      <c r="J94" s="395">
        <f t="shared" si="6"/>
        <v>6.5</v>
      </c>
    </row>
    <row r="95" spans="1:12" x14ac:dyDescent="0.25">
      <c r="B95" s="958"/>
      <c r="C95" s="393" t="s">
        <v>43</v>
      </c>
      <c r="D95" s="956" t="s">
        <v>16</v>
      </c>
      <c r="E95" s="393" t="s">
        <v>178</v>
      </c>
      <c r="F95" s="223" t="s">
        <v>12</v>
      </c>
      <c r="G95" s="223">
        <v>1</v>
      </c>
      <c r="H95" s="223">
        <v>1</v>
      </c>
      <c r="I95" s="223">
        <v>0</v>
      </c>
      <c r="J95" s="395">
        <f t="shared" si="6"/>
        <v>1</v>
      </c>
    </row>
    <row r="96" spans="1:12" x14ac:dyDescent="0.25">
      <c r="B96" s="958"/>
      <c r="C96" s="393"/>
      <c r="D96" s="956"/>
      <c r="E96" s="389" t="s">
        <v>1686</v>
      </c>
      <c r="F96" s="223" t="s">
        <v>12</v>
      </c>
      <c r="G96" s="223">
        <v>1.3</v>
      </c>
      <c r="H96" s="223">
        <v>1</v>
      </c>
      <c r="I96" s="223">
        <v>0</v>
      </c>
      <c r="J96" s="395">
        <f t="shared" si="6"/>
        <v>1.3</v>
      </c>
    </row>
    <row r="97" spans="1:10" ht="75.75" customHeight="1" x14ac:dyDescent="0.25">
      <c r="B97" s="955" t="s">
        <v>31</v>
      </c>
      <c r="C97" s="955"/>
      <c r="D97" s="955"/>
      <c r="E97" s="955"/>
      <c r="F97" s="955"/>
      <c r="G97" s="955"/>
      <c r="H97" s="955"/>
      <c r="I97" s="955"/>
      <c r="J97" s="912">
        <f>SUM(J86:J96)</f>
        <v>1273.1999999999998</v>
      </c>
    </row>
    <row r="98" spans="1:10" ht="31.5" customHeight="1" thickBot="1" x14ac:dyDescent="0.3">
      <c r="B98" s="182"/>
      <c r="C98" s="385"/>
      <c r="D98" s="385"/>
      <c r="E98" s="385"/>
      <c r="F98" s="385"/>
      <c r="G98" s="385"/>
      <c r="H98" s="385"/>
      <c r="I98" s="385"/>
      <c r="J98" s="385"/>
    </row>
    <row r="99" spans="1:10" ht="52.5" customHeight="1" thickBot="1" x14ac:dyDescent="0.3">
      <c r="A99" s="182"/>
      <c r="B99" s="182"/>
      <c r="C99" s="385"/>
      <c r="D99" s="989" t="s">
        <v>628</v>
      </c>
      <c r="E99" s="990"/>
      <c r="F99" s="991"/>
      <c r="G99" s="385"/>
      <c r="H99" s="385"/>
      <c r="I99" s="385"/>
      <c r="J99" s="385"/>
    </row>
    <row r="100" spans="1:10" ht="52.5" customHeight="1" x14ac:dyDescent="0.25">
      <c r="A100" s="182"/>
      <c r="B100" s="182"/>
      <c r="C100" s="385"/>
      <c r="D100" s="402"/>
      <c r="E100" s="402"/>
      <c r="F100" s="402"/>
      <c r="G100" s="385"/>
      <c r="H100" s="385"/>
      <c r="I100" s="385"/>
      <c r="J100" s="385"/>
    </row>
    <row r="101" spans="1:10" ht="57" customHeight="1" x14ac:dyDescent="0.25">
      <c r="A101" s="182"/>
      <c r="B101" s="246" t="s">
        <v>0</v>
      </c>
      <c r="C101" s="387" t="s">
        <v>1</v>
      </c>
      <c r="D101" s="953" t="s">
        <v>2</v>
      </c>
      <c r="E101" s="953"/>
      <c r="F101" s="387" t="s">
        <v>3</v>
      </c>
      <c r="G101" s="387" t="s">
        <v>4</v>
      </c>
      <c r="H101" s="387" t="s">
        <v>5</v>
      </c>
      <c r="I101" s="387" t="s">
        <v>6</v>
      </c>
      <c r="J101" s="388" t="s">
        <v>7</v>
      </c>
    </row>
    <row r="102" spans="1:10" ht="33" customHeight="1" x14ac:dyDescent="0.25">
      <c r="A102" s="992" t="s">
        <v>332</v>
      </c>
      <c r="B102" s="240">
        <v>4</v>
      </c>
      <c r="C102" s="391" t="s">
        <v>329</v>
      </c>
      <c r="D102" s="964" t="s">
        <v>14</v>
      </c>
      <c r="E102" s="389" t="s">
        <v>18</v>
      </c>
      <c r="F102" s="220" t="s">
        <v>19</v>
      </c>
      <c r="G102" s="403">
        <f>'اسعار الخامات'!E7</f>
        <v>650</v>
      </c>
      <c r="H102" s="220">
        <f>0.35*0.72/26</f>
        <v>9.6923076923076928E-3</v>
      </c>
      <c r="I102" s="222">
        <v>0.05</v>
      </c>
      <c r="J102" s="392">
        <f t="shared" ref="J102:J107" si="7">G102*H102+(G102*H102*I102)</f>
        <v>6.6150000000000011</v>
      </c>
    </row>
    <row r="103" spans="1:10" x14ac:dyDescent="0.25">
      <c r="A103" s="992"/>
      <c r="B103" s="240"/>
      <c r="C103" s="391" t="s">
        <v>326</v>
      </c>
      <c r="D103" s="964"/>
      <c r="E103" s="389" t="s">
        <v>21</v>
      </c>
      <c r="F103" s="220" t="s">
        <v>12</v>
      </c>
      <c r="G103" s="403">
        <f>'اسعار الخامات'!E8</f>
        <v>35</v>
      </c>
      <c r="H103" s="220">
        <f>0.4*0.72/26</f>
        <v>1.1076923076923076E-2</v>
      </c>
      <c r="I103" s="222">
        <v>0.1</v>
      </c>
      <c r="J103" s="392">
        <f t="shared" si="7"/>
        <v>0.42646153846153845</v>
      </c>
    </row>
    <row r="104" spans="1:10" x14ac:dyDescent="0.25">
      <c r="A104" s="992"/>
      <c r="B104" s="240"/>
      <c r="C104" s="391" t="s">
        <v>35</v>
      </c>
      <c r="D104" s="964"/>
      <c r="E104" s="389" t="s">
        <v>23</v>
      </c>
      <c r="F104" s="220" t="s">
        <v>12</v>
      </c>
      <c r="G104" s="403">
        <f>'اسعار الخامات'!E10</f>
        <v>86</v>
      </c>
      <c r="H104" s="220">
        <f>0.8*0.12</f>
        <v>9.6000000000000002E-2</v>
      </c>
      <c r="I104" s="222">
        <v>0.1</v>
      </c>
      <c r="J104" s="392">
        <f t="shared" si="7"/>
        <v>9.0815999999999999</v>
      </c>
    </row>
    <row r="105" spans="1:10" x14ac:dyDescent="0.25">
      <c r="A105" s="992"/>
      <c r="B105" s="240"/>
      <c r="C105" s="391" t="s">
        <v>36</v>
      </c>
      <c r="D105" s="964"/>
      <c r="E105" s="389" t="s">
        <v>47</v>
      </c>
      <c r="F105" s="220" t="s">
        <v>327</v>
      </c>
      <c r="G105" s="403">
        <v>1.25</v>
      </c>
      <c r="H105" s="220">
        <v>10</v>
      </c>
      <c r="I105" s="222">
        <v>0.05</v>
      </c>
      <c r="J105" s="392">
        <f t="shared" si="7"/>
        <v>13.125</v>
      </c>
    </row>
    <row r="106" spans="1:10" x14ac:dyDescent="0.25">
      <c r="A106" s="992"/>
      <c r="B106" s="240"/>
      <c r="C106" s="391" t="s">
        <v>37</v>
      </c>
      <c r="D106" s="964"/>
      <c r="E106" s="389" t="s">
        <v>15</v>
      </c>
      <c r="F106" s="220" t="s">
        <v>12</v>
      </c>
      <c r="G106" s="403">
        <f>'اسعار الخامات'!E12</f>
        <v>13</v>
      </c>
      <c r="H106" s="392">
        <f>1.75*0.12</f>
        <v>0.21</v>
      </c>
      <c r="I106" s="222">
        <v>0.1</v>
      </c>
      <c r="J106" s="392">
        <f t="shared" si="7"/>
        <v>3.0030000000000001</v>
      </c>
    </row>
    <row r="107" spans="1:10" x14ac:dyDescent="0.25">
      <c r="A107" s="992"/>
      <c r="B107" s="240"/>
      <c r="C107" s="391" t="s">
        <v>39</v>
      </c>
      <c r="D107" s="964"/>
      <c r="E107" s="389" t="s">
        <v>38</v>
      </c>
      <c r="F107" s="220" t="s">
        <v>19</v>
      </c>
      <c r="G107" s="403">
        <f>'اسعار الخامات'!E13</f>
        <v>5000</v>
      </c>
      <c r="H107" s="392">
        <f>0.18*0.12</f>
        <v>2.1599999999999998E-2</v>
      </c>
      <c r="I107" s="222">
        <v>7.0000000000000007E-2</v>
      </c>
      <c r="J107" s="392">
        <f t="shared" si="7"/>
        <v>115.55999999999999</v>
      </c>
    </row>
    <row r="108" spans="1:10" x14ac:dyDescent="0.25">
      <c r="A108" s="992"/>
      <c r="B108" s="240"/>
      <c r="C108" s="391" t="s">
        <v>41</v>
      </c>
      <c r="D108" s="964"/>
      <c r="E108" s="389" t="s">
        <v>225</v>
      </c>
      <c r="F108" s="220" t="s">
        <v>194</v>
      </c>
      <c r="G108" s="404">
        <v>1</v>
      </c>
      <c r="H108" s="220">
        <v>1</v>
      </c>
      <c r="I108" s="222">
        <v>0</v>
      </c>
      <c r="J108" s="392">
        <f t="shared" ref="J108:J113" si="8">G108*H108+(G108*H108*I108)</f>
        <v>1</v>
      </c>
    </row>
    <row r="109" spans="1:10" x14ac:dyDescent="0.25">
      <c r="A109" s="992"/>
      <c r="B109" s="240"/>
      <c r="C109" s="391" t="s">
        <v>42</v>
      </c>
      <c r="D109" s="964"/>
      <c r="E109" s="389" t="s">
        <v>44</v>
      </c>
      <c r="F109" s="220" t="s">
        <v>194</v>
      </c>
      <c r="G109" s="404">
        <v>1</v>
      </c>
      <c r="H109" s="220">
        <v>1</v>
      </c>
      <c r="I109" s="220">
        <v>0</v>
      </c>
      <c r="J109" s="392">
        <f t="shared" si="8"/>
        <v>1</v>
      </c>
    </row>
    <row r="110" spans="1:10" x14ac:dyDescent="0.25">
      <c r="A110" s="992"/>
      <c r="B110" s="240"/>
      <c r="C110" s="391" t="s">
        <v>43</v>
      </c>
      <c r="D110" s="964" t="s">
        <v>11</v>
      </c>
      <c r="E110" s="389" t="s">
        <v>40</v>
      </c>
      <c r="F110" s="220" t="s">
        <v>45</v>
      </c>
      <c r="G110" s="405">
        <f>'اسعار المصنعيات'!D11</f>
        <v>48</v>
      </c>
      <c r="H110" s="220">
        <v>1</v>
      </c>
      <c r="I110" s="220">
        <v>0</v>
      </c>
      <c r="J110" s="392">
        <f t="shared" si="8"/>
        <v>48</v>
      </c>
    </row>
    <row r="111" spans="1:10" x14ac:dyDescent="0.25">
      <c r="A111" s="992"/>
      <c r="B111" s="240"/>
      <c r="C111" s="391"/>
      <c r="D111" s="964"/>
      <c r="E111" s="389" t="s">
        <v>263</v>
      </c>
      <c r="F111" s="220" t="s">
        <v>12</v>
      </c>
      <c r="G111" s="403">
        <f>'اسعار الخامات'!E12</f>
        <v>13</v>
      </c>
      <c r="H111" s="392">
        <f>0.5/3.85</f>
        <v>0.12987012987012986</v>
      </c>
      <c r="I111" s="220">
        <v>0</v>
      </c>
      <c r="J111" s="392">
        <f t="shared" si="8"/>
        <v>1.6883116883116882</v>
      </c>
    </row>
    <row r="112" spans="1:10" x14ac:dyDescent="0.25">
      <c r="A112" s="992"/>
      <c r="B112" s="240"/>
      <c r="C112" s="391"/>
      <c r="D112" s="964" t="s">
        <v>16</v>
      </c>
      <c r="E112" s="389" t="s">
        <v>178</v>
      </c>
      <c r="F112" s="220" t="s">
        <v>194</v>
      </c>
      <c r="G112" s="404">
        <v>1</v>
      </c>
      <c r="H112" s="220">
        <v>1</v>
      </c>
      <c r="I112" s="220">
        <v>0</v>
      </c>
      <c r="J112" s="392">
        <f t="shared" si="8"/>
        <v>1</v>
      </c>
    </row>
    <row r="113" spans="1:10" x14ac:dyDescent="0.25">
      <c r="A113" s="992"/>
      <c r="B113" s="240"/>
      <c r="C113" s="391"/>
      <c r="D113" s="964"/>
      <c r="E113" s="389" t="s">
        <v>330</v>
      </c>
      <c r="F113" s="220" t="s">
        <v>194</v>
      </c>
      <c r="G113" s="404">
        <v>0.3</v>
      </c>
      <c r="H113" s="220">
        <v>1</v>
      </c>
      <c r="I113" s="220">
        <v>0</v>
      </c>
      <c r="J113" s="392">
        <f t="shared" si="8"/>
        <v>0.3</v>
      </c>
    </row>
    <row r="114" spans="1:10" ht="42.75" customHeight="1" thickBot="1" x14ac:dyDescent="0.3">
      <c r="A114" s="993"/>
      <c r="B114" s="968" t="s">
        <v>331</v>
      </c>
      <c r="C114" s="969"/>
      <c r="D114" s="969"/>
      <c r="E114" s="969"/>
      <c r="F114" s="969"/>
      <c r="G114" s="969"/>
      <c r="H114" s="969"/>
      <c r="I114" s="970"/>
      <c r="J114" s="406">
        <f>SUM(J102:J113)</f>
        <v>200.79937322677324</v>
      </c>
    </row>
    <row r="115" spans="1:10" ht="34.5" customHeight="1" thickTop="1" thickBot="1" x14ac:dyDescent="0.3">
      <c r="A115" s="962" t="s">
        <v>332</v>
      </c>
      <c r="B115" s="184" t="s">
        <v>333</v>
      </c>
      <c r="C115" s="397" t="s">
        <v>290</v>
      </c>
      <c r="D115" s="964" t="s">
        <v>14</v>
      </c>
      <c r="E115" s="971" t="s">
        <v>291</v>
      </c>
      <c r="F115" s="974" t="s">
        <v>12</v>
      </c>
      <c r="G115" s="977">
        <f>'اسعار الخامات'!E6</f>
        <v>378</v>
      </c>
      <c r="H115" s="980">
        <f>1*0.12</f>
        <v>0.12</v>
      </c>
      <c r="I115" s="983">
        <v>0.1</v>
      </c>
      <c r="J115" s="959">
        <f>G115*H115+(G115*H115*I115)</f>
        <v>49.896000000000001</v>
      </c>
    </row>
    <row r="116" spans="1:10" ht="39" thickTop="1" x14ac:dyDescent="0.25">
      <c r="A116" s="963"/>
      <c r="B116" s="183"/>
      <c r="C116" s="407" t="s">
        <v>329</v>
      </c>
      <c r="D116" s="964"/>
      <c r="E116" s="972"/>
      <c r="F116" s="975"/>
      <c r="G116" s="978"/>
      <c r="H116" s="981"/>
      <c r="I116" s="984"/>
      <c r="J116" s="960"/>
    </row>
    <row r="117" spans="1:10" x14ac:dyDescent="0.25">
      <c r="A117" s="963"/>
      <c r="B117" s="183"/>
      <c r="C117" s="408" t="s">
        <v>326</v>
      </c>
      <c r="D117" s="964"/>
      <c r="E117" s="972"/>
      <c r="F117" s="975"/>
      <c r="G117" s="978"/>
      <c r="H117" s="981"/>
      <c r="I117" s="984"/>
      <c r="J117" s="960"/>
    </row>
    <row r="118" spans="1:10" x14ac:dyDescent="0.25">
      <c r="A118" s="963"/>
      <c r="B118" s="183"/>
      <c r="C118" s="408" t="s">
        <v>35</v>
      </c>
      <c r="D118" s="964"/>
      <c r="E118" s="972"/>
      <c r="F118" s="975"/>
      <c r="G118" s="978"/>
      <c r="H118" s="981"/>
      <c r="I118" s="984"/>
      <c r="J118" s="960"/>
    </row>
    <row r="119" spans="1:10" x14ac:dyDescent="0.25">
      <c r="A119" s="963"/>
      <c r="B119" s="183"/>
      <c r="C119" s="408" t="s">
        <v>36</v>
      </c>
      <c r="D119" s="964"/>
      <c r="E119" s="973"/>
      <c r="F119" s="976"/>
      <c r="G119" s="979"/>
      <c r="H119" s="982"/>
      <c r="I119" s="985"/>
      <c r="J119" s="961"/>
    </row>
    <row r="120" spans="1:10" x14ac:dyDescent="0.25">
      <c r="A120" s="963"/>
      <c r="B120" s="183"/>
      <c r="C120" s="408" t="s">
        <v>37</v>
      </c>
      <c r="D120" s="964"/>
      <c r="E120" s="389" t="s">
        <v>47</v>
      </c>
      <c r="F120" s="220" t="s">
        <v>327</v>
      </c>
      <c r="G120" s="403">
        <v>1.25</v>
      </c>
      <c r="H120" s="220">
        <v>10</v>
      </c>
      <c r="I120" s="222">
        <v>0.05</v>
      </c>
      <c r="J120" s="409">
        <f t="shared" ref="J120:J127" si="9">G120*H120+(G120*H120*I120)</f>
        <v>13.125</v>
      </c>
    </row>
    <row r="121" spans="1:10" x14ac:dyDescent="0.25">
      <c r="A121" s="963"/>
      <c r="B121" s="183"/>
      <c r="C121" s="408" t="s">
        <v>39</v>
      </c>
      <c r="D121" s="964"/>
      <c r="E121" s="389" t="s">
        <v>38</v>
      </c>
      <c r="F121" s="220" t="s">
        <v>19</v>
      </c>
      <c r="G121" s="403">
        <f>'اسعار الخامات'!E13</f>
        <v>5000</v>
      </c>
      <c r="H121" s="392">
        <f>0.18*0.12</f>
        <v>2.1599999999999998E-2</v>
      </c>
      <c r="I121" s="222">
        <v>7.0000000000000007E-2</v>
      </c>
      <c r="J121" s="409">
        <f t="shared" si="9"/>
        <v>115.55999999999999</v>
      </c>
    </row>
    <row r="122" spans="1:10" x14ac:dyDescent="0.25">
      <c r="A122" s="963"/>
      <c r="B122" s="183"/>
      <c r="C122" s="408" t="s">
        <v>41</v>
      </c>
      <c r="D122" s="964"/>
      <c r="E122" s="389" t="s">
        <v>225</v>
      </c>
      <c r="F122" s="220" t="s">
        <v>194</v>
      </c>
      <c r="G122" s="404">
        <v>1</v>
      </c>
      <c r="H122" s="220">
        <v>1</v>
      </c>
      <c r="I122" s="222">
        <v>0</v>
      </c>
      <c r="J122" s="409">
        <f t="shared" si="9"/>
        <v>1</v>
      </c>
    </row>
    <row r="123" spans="1:10" x14ac:dyDescent="0.25">
      <c r="A123" s="963"/>
      <c r="B123" s="183"/>
      <c r="C123" s="408" t="s">
        <v>42</v>
      </c>
      <c r="D123" s="964"/>
      <c r="E123" s="389" t="s">
        <v>44</v>
      </c>
      <c r="F123" s="220" t="s">
        <v>194</v>
      </c>
      <c r="G123" s="404">
        <v>1</v>
      </c>
      <c r="H123" s="220">
        <v>1</v>
      </c>
      <c r="I123" s="220">
        <v>0</v>
      </c>
      <c r="J123" s="409">
        <f t="shared" si="9"/>
        <v>1</v>
      </c>
    </row>
    <row r="124" spans="1:10" x14ac:dyDescent="0.25">
      <c r="A124" s="963"/>
      <c r="B124" s="183"/>
      <c r="C124" s="408" t="s">
        <v>43</v>
      </c>
      <c r="D124" s="965" t="s">
        <v>11</v>
      </c>
      <c r="E124" s="389" t="s">
        <v>40</v>
      </c>
      <c r="F124" s="220" t="s">
        <v>45</v>
      </c>
      <c r="G124" s="405">
        <f>'اسعار المصنعيات'!D11</f>
        <v>48</v>
      </c>
      <c r="H124" s="220">
        <v>1</v>
      </c>
      <c r="I124" s="220">
        <v>0</v>
      </c>
      <c r="J124" s="409">
        <f t="shared" si="9"/>
        <v>48</v>
      </c>
    </row>
    <row r="125" spans="1:10" x14ac:dyDescent="0.25">
      <c r="A125" s="963"/>
      <c r="B125" s="183"/>
      <c r="C125" s="408"/>
      <c r="D125" s="966"/>
      <c r="E125" s="389" t="s">
        <v>263</v>
      </c>
      <c r="F125" s="220" t="s">
        <v>12</v>
      </c>
      <c r="G125" s="403">
        <f>'اسعار الخامات'!E12</f>
        <v>13</v>
      </c>
      <c r="H125" s="392">
        <f>0.5/3.85</f>
        <v>0.12987012987012986</v>
      </c>
      <c r="I125" s="220">
        <v>0</v>
      </c>
      <c r="J125" s="409">
        <f t="shared" si="9"/>
        <v>1.6883116883116882</v>
      </c>
    </row>
    <row r="126" spans="1:10" x14ac:dyDescent="0.25">
      <c r="A126" s="963"/>
      <c r="B126" s="183"/>
      <c r="C126" s="408"/>
      <c r="D126" s="965" t="s">
        <v>16</v>
      </c>
      <c r="E126" s="389" t="s">
        <v>178</v>
      </c>
      <c r="F126" s="220" t="s">
        <v>194</v>
      </c>
      <c r="G126" s="404">
        <v>1</v>
      </c>
      <c r="H126" s="220">
        <v>1</v>
      </c>
      <c r="I126" s="220">
        <v>0</v>
      </c>
      <c r="J126" s="409">
        <f t="shared" si="9"/>
        <v>1</v>
      </c>
    </row>
    <row r="127" spans="1:10" x14ac:dyDescent="0.25">
      <c r="A127" s="963"/>
      <c r="B127" s="183"/>
      <c r="C127" s="408"/>
      <c r="D127" s="967"/>
      <c r="E127" s="389" t="s">
        <v>330</v>
      </c>
      <c r="F127" s="220" t="s">
        <v>194</v>
      </c>
      <c r="G127" s="404">
        <v>0.3</v>
      </c>
      <c r="H127" s="220">
        <v>1</v>
      </c>
      <c r="I127" s="220">
        <v>0</v>
      </c>
      <c r="J127" s="409">
        <f t="shared" si="9"/>
        <v>0.3</v>
      </c>
    </row>
    <row r="128" spans="1:10" ht="23.25" customHeight="1" thickBot="1" x14ac:dyDescent="0.3">
      <c r="A128" s="963"/>
      <c r="B128" s="968" t="s">
        <v>331</v>
      </c>
      <c r="C128" s="969"/>
      <c r="D128" s="969"/>
      <c r="E128" s="969"/>
      <c r="F128" s="969"/>
      <c r="G128" s="969"/>
      <c r="H128" s="969"/>
      <c r="I128" s="970"/>
      <c r="J128" s="406">
        <f>SUM(J115:J127)</f>
        <v>231.5693116883117</v>
      </c>
    </row>
    <row r="129" spans="2:9" ht="33.75" thickTop="1" x14ac:dyDescent="0.25">
      <c r="B129" s="167"/>
      <c r="C129" s="410"/>
      <c r="D129" s="410"/>
      <c r="E129" s="410"/>
      <c r="F129" s="410"/>
      <c r="G129" s="410"/>
      <c r="H129" s="410"/>
      <c r="I129" s="410"/>
    </row>
    <row r="130" spans="2:9" ht="33" x14ac:dyDescent="0.25">
      <c r="B130" s="167"/>
      <c r="C130" s="410"/>
      <c r="D130" s="410"/>
      <c r="E130" s="410"/>
      <c r="F130" s="410"/>
      <c r="G130" s="410"/>
      <c r="H130" s="410"/>
      <c r="I130" s="410"/>
    </row>
    <row r="131" spans="2:9" ht="33" x14ac:dyDescent="0.25">
      <c r="B131" s="167"/>
      <c r="C131" s="410"/>
      <c r="D131" s="410"/>
      <c r="E131" s="410"/>
      <c r="F131" s="410"/>
      <c r="G131" s="410"/>
      <c r="H131" s="410"/>
      <c r="I131" s="410"/>
    </row>
    <row r="132" spans="2:9" ht="33.75" x14ac:dyDescent="0.5">
      <c r="B132" s="167"/>
      <c r="C132" s="615" t="s">
        <v>1233</v>
      </c>
      <c r="D132" s="410"/>
      <c r="E132" s="410"/>
      <c r="F132" s="410"/>
      <c r="G132" s="410"/>
      <c r="H132" s="410"/>
      <c r="I132" s="410"/>
    </row>
    <row r="133" spans="2:9" ht="33.75" x14ac:dyDescent="0.5">
      <c r="B133" s="167"/>
      <c r="C133" s="615" t="s">
        <v>1234</v>
      </c>
      <c r="D133" s="410"/>
      <c r="E133" s="410"/>
      <c r="F133" s="410"/>
      <c r="G133" s="410"/>
      <c r="H133" s="410"/>
      <c r="I133" s="410"/>
    </row>
    <row r="134" spans="2:9" ht="33.75" x14ac:dyDescent="0.5">
      <c r="B134" s="167"/>
      <c r="C134" s="615" t="s">
        <v>1235</v>
      </c>
      <c r="D134" s="410"/>
      <c r="E134" s="410"/>
      <c r="F134" s="410"/>
      <c r="G134" s="410"/>
      <c r="H134" s="410"/>
      <c r="I134" s="410"/>
    </row>
    <row r="135" spans="2:9" ht="33.75" x14ac:dyDescent="0.5">
      <c r="B135" s="167"/>
      <c r="C135" s="615"/>
      <c r="D135" s="410"/>
      <c r="E135" s="410"/>
      <c r="F135" s="410"/>
      <c r="G135" s="410"/>
      <c r="H135" s="410"/>
      <c r="I135" s="410"/>
    </row>
    <row r="136" spans="2:9" ht="33.75" x14ac:dyDescent="0.5">
      <c r="B136" s="167"/>
      <c r="C136" s="615" t="s">
        <v>1236</v>
      </c>
      <c r="D136" s="410"/>
      <c r="E136" s="410"/>
      <c r="F136" s="410"/>
      <c r="G136" s="410"/>
      <c r="H136" s="410"/>
      <c r="I136" s="410"/>
    </row>
    <row r="137" spans="2:9" ht="33.75" x14ac:dyDescent="0.5">
      <c r="B137" s="167"/>
      <c r="C137" s="615"/>
      <c r="D137" s="410"/>
      <c r="E137" s="410"/>
      <c r="F137" s="410"/>
      <c r="G137" s="410"/>
      <c r="H137" s="410"/>
      <c r="I137" s="410"/>
    </row>
    <row r="138" spans="2:9" ht="33.75" x14ac:dyDescent="0.5">
      <c r="B138" s="167"/>
      <c r="C138" s="615" t="s">
        <v>1237</v>
      </c>
      <c r="D138" s="410"/>
      <c r="E138" s="410"/>
      <c r="F138" s="410"/>
      <c r="G138" s="410"/>
      <c r="H138" s="410"/>
      <c r="I138" s="410"/>
    </row>
    <row r="139" spans="2:9" ht="33.75" x14ac:dyDescent="0.5">
      <c r="B139" s="167"/>
      <c r="C139" s="615" t="s">
        <v>1238</v>
      </c>
      <c r="D139" s="410"/>
      <c r="E139" s="410"/>
      <c r="F139" s="410"/>
      <c r="G139" s="410"/>
      <c r="H139" s="410"/>
      <c r="I139" s="410"/>
    </row>
    <row r="140" spans="2:9" ht="33.75" x14ac:dyDescent="0.5">
      <c r="B140" s="167"/>
      <c r="C140" s="615"/>
      <c r="D140" s="410"/>
      <c r="E140" s="410"/>
      <c r="F140" s="410"/>
      <c r="G140" s="410"/>
      <c r="H140" s="410"/>
      <c r="I140" s="410"/>
    </row>
    <row r="141" spans="2:9" ht="33.75" x14ac:dyDescent="0.5">
      <c r="B141" s="167"/>
      <c r="C141" s="615" t="s">
        <v>1239</v>
      </c>
      <c r="D141" s="410"/>
      <c r="E141" s="410"/>
      <c r="F141" s="410"/>
      <c r="G141" s="410"/>
      <c r="H141" s="410"/>
      <c r="I141" s="410"/>
    </row>
    <row r="142" spans="2:9" ht="33.75" x14ac:dyDescent="0.5">
      <c r="B142" s="167"/>
      <c r="C142" s="615"/>
      <c r="D142" s="410"/>
      <c r="E142" s="410"/>
      <c r="F142" s="410"/>
      <c r="G142" s="410"/>
      <c r="H142" s="410"/>
      <c r="I142" s="410"/>
    </row>
    <row r="143" spans="2:9" ht="33.75" x14ac:dyDescent="0.5">
      <c r="B143" s="167"/>
      <c r="C143" s="615" t="s">
        <v>1240</v>
      </c>
      <c r="D143" s="410"/>
      <c r="E143" s="410"/>
      <c r="F143" s="410"/>
      <c r="G143" s="410"/>
      <c r="H143" s="410"/>
      <c r="I143" s="410"/>
    </row>
    <row r="144" spans="2:9" ht="33.75" x14ac:dyDescent="0.5">
      <c r="B144" s="167"/>
      <c r="C144" s="615"/>
      <c r="D144" s="410"/>
      <c r="E144" s="410"/>
      <c r="F144" s="410"/>
      <c r="G144" s="410"/>
      <c r="H144" s="410"/>
      <c r="I144" s="410"/>
    </row>
    <row r="145" spans="2:9" ht="33.75" x14ac:dyDescent="0.5">
      <c r="B145" s="167"/>
      <c r="C145" s="615" t="s">
        <v>1241</v>
      </c>
      <c r="D145" s="410"/>
      <c r="E145" s="410"/>
      <c r="F145" s="410"/>
      <c r="G145" s="410"/>
      <c r="H145" s="410"/>
      <c r="I145" s="410"/>
    </row>
    <row r="146" spans="2:9" ht="33" x14ac:dyDescent="0.25">
      <c r="B146" s="167"/>
      <c r="C146" s="410"/>
      <c r="D146" s="410"/>
      <c r="E146" s="410"/>
      <c r="F146" s="410"/>
      <c r="G146" s="410"/>
      <c r="H146" s="410"/>
      <c r="I146" s="410"/>
    </row>
    <row r="147" spans="2:9" ht="33" x14ac:dyDescent="0.25">
      <c r="B147" s="167"/>
      <c r="C147" s="410"/>
      <c r="D147" s="410"/>
      <c r="E147" s="410"/>
      <c r="F147" s="410"/>
      <c r="G147" s="410"/>
      <c r="H147" s="410"/>
      <c r="I147" s="410"/>
    </row>
    <row r="148" spans="2:9" ht="33" x14ac:dyDescent="0.25">
      <c r="B148" s="167"/>
      <c r="C148" s="410"/>
      <c r="D148" s="410"/>
      <c r="E148" s="410"/>
      <c r="F148" s="410"/>
      <c r="G148" s="410"/>
      <c r="H148" s="410"/>
      <c r="I148" s="410"/>
    </row>
    <row r="149" spans="2:9" ht="33" x14ac:dyDescent="0.25">
      <c r="B149" s="167"/>
      <c r="C149" s="410"/>
      <c r="D149" s="410"/>
      <c r="E149" s="410"/>
      <c r="F149" s="410"/>
      <c r="G149" s="410"/>
      <c r="H149" s="410"/>
      <c r="I149" s="410"/>
    </row>
    <row r="150" spans="2:9" ht="33" x14ac:dyDescent="0.25">
      <c r="B150" s="167"/>
      <c r="C150" s="410"/>
      <c r="D150" s="410"/>
      <c r="E150" s="410"/>
      <c r="F150" s="410"/>
      <c r="G150" s="410"/>
      <c r="H150" s="410"/>
      <c r="I150" s="410"/>
    </row>
    <row r="151" spans="2:9" ht="33" x14ac:dyDescent="0.25">
      <c r="B151" s="167"/>
      <c r="C151" s="410"/>
      <c r="D151" s="410"/>
      <c r="E151" s="410"/>
      <c r="F151" s="410"/>
      <c r="G151" s="410"/>
      <c r="H151" s="410"/>
      <c r="I151" s="410"/>
    </row>
    <row r="152" spans="2:9" ht="33" x14ac:dyDescent="0.25">
      <c r="B152" s="167"/>
      <c r="C152" s="410"/>
      <c r="D152" s="410"/>
      <c r="E152" s="410"/>
      <c r="F152" s="410"/>
      <c r="G152" s="410"/>
      <c r="H152" s="410"/>
      <c r="I152" s="410"/>
    </row>
    <row r="153" spans="2:9" ht="33" x14ac:dyDescent="0.25">
      <c r="B153" s="167"/>
      <c r="C153" s="410"/>
      <c r="D153" s="410"/>
      <c r="E153" s="410"/>
      <c r="F153" s="410"/>
      <c r="G153" s="410"/>
      <c r="H153" s="410"/>
      <c r="I153" s="410"/>
    </row>
    <row r="154" spans="2:9" ht="33" x14ac:dyDescent="0.25">
      <c r="B154" s="167"/>
      <c r="C154" s="410"/>
      <c r="D154" s="410"/>
      <c r="E154" s="410"/>
      <c r="F154" s="410"/>
      <c r="G154" s="410"/>
      <c r="H154" s="410"/>
      <c r="I154" s="410"/>
    </row>
    <row r="155" spans="2:9" ht="33" x14ac:dyDescent="0.25">
      <c r="B155" s="167"/>
      <c r="C155" s="410"/>
      <c r="D155" s="410"/>
      <c r="E155" s="410"/>
      <c r="F155" s="410"/>
      <c r="G155" s="410"/>
      <c r="H155" s="410"/>
      <c r="I155" s="410"/>
    </row>
    <row r="156" spans="2:9" ht="33" x14ac:dyDescent="0.25">
      <c r="B156" s="167"/>
      <c r="C156" s="410"/>
      <c r="D156" s="410"/>
      <c r="E156" s="410"/>
      <c r="F156" s="410"/>
      <c r="G156" s="410"/>
      <c r="H156" s="410"/>
      <c r="I156" s="410"/>
    </row>
    <row r="157" spans="2:9" ht="33" x14ac:dyDescent="0.25">
      <c r="B157" s="167"/>
      <c r="C157" s="410"/>
      <c r="D157" s="410"/>
      <c r="E157" s="410"/>
      <c r="F157" s="410"/>
      <c r="G157" s="410"/>
      <c r="H157" s="410"/>
      <c r="I157" s="410"/>
    </row>
    <row r="158" spans="2:9" ht="33" x14ac:dyDescent="0.25">
      <c r="B158" s="167"/>
      <c r="C158" s="410"/>
      <c r="D158" s="410"/>
      <c r="E158" s="410"/>
      <c r="F158" s="410"/>
      <c r="G158" s="410"/>
      <c r="H158" s="410"/>
      <c r="I158" s="410"/>
    </row>
    <row r="159" spans="2:9" ht="33" x14ac:dyDescent="0.25">
      <c r="B159" s="167"/>
      <c r="C159" s="410"/>
      <c r="D159" s="410"/>
      <c r="E159" s="410"/>
      <c r="F159" s="410"/>
      <c r="G159" s="410"/>
      <c r="H159" s="410"/>
      <c r="I159" s="410"/>
    </row>
    <row r="160" spans="2:9" ht="33" x14ac:dyDescent="0.25">
      <c r="B160" s="167"/>
      <c r="C160" s="410"/>
      <c r="D160" s="410"/>
      <c r="E160" s="410"/>
      <c r="F160" s="410"/>
      <c r="G160" s="410"/>
      <c r="H160" s="410"/>
      <c r="I160" s="410"/>
    </row>
    <row r="161" spans="2:9" ht="33" x14ac:dyDescent="0.25">
      <c r="B161" s="167"/>
      <c r="C161" s="410"/>
      <c r="D161" s="410"/>
      <c r="E161" s="410"/>
      <c r="F161" s="410"/>
      <c r="G161" s="410"/>
      <c r="H161" s="410"/>
      <c r="I161" s="410"/>
    </row>
    <row r="162" spans="2:9" ht="33" x14ac:dyDescent="0.25">
      <c r="B162" s="167"/>
      <c r="C162" s="410"/>
      <c r="D162" s="410"/>
      <c r="E162" s="410"/>
      <c r="F162" s="410"/>
      <c r="G162" s="410"/>
      <c r="H162" s="410"/>
      <c r="I162" s="410"/>
    </row>
    <row r="163" spans="2:9" ht="33" x14ac:dyDescent="0.25">
      <c r="B163" s="167"/>
      <c r="C163" s="410"/>
      <c r="D163" s="410"/>
      <c r="E163" s="410"/>
      <c r="F163" s="410"/>
      <c r="G163" s="410"/>
      <c r="H163" s="410"/>
      <c r="I163" s="410"/>
    </row>
    <row r="164" spans="2:9" ht="33" x14ac:dyDescent="0.25">
      <c r="B164" s="167"/>
      <c r="C164" s="410"/>
      <c r="D164" s="410"/>
      <c r="E164" s="410"/>
      <c r="F164" s="410"/>
      <c r="G164" s="410"/>
      <c r="H164" s="410"/>
      <c r="I164" s="410"/>
    </row>
    <row r="165" spans="2:9" ht="33" x14ac:dyDescent="0.25">
      <c r="B165" s="167"/>
      <c r="C165" s="410"/>
      <c r="D165" s="410"/>
      <c r="E165" s="410"/>
      <c r="F165" s="410"/>
      <c r="G165" s="410"/>
      <c r="H165" s="410"/>
      <c r="I165" s="410"/>
    </row>
    <row r="166" spans="2:9" ht="33" x14ac:dyDescent="0.25">
      <c r="B166" s="167"/>
      <c r="C166" s="410"/>
      <c r="D166" s="410"/>
      <c r="E166" s="410"/>
      <c r="F166" s="410"/>
      <c r="G166" s="410"/>
      <c r="H166" s="410"/>
      <c r="I166" s="410"/>
    </row>
    <row r="167" spans="2:9" ht="33" x14ac:dyDescent="0.25">
      <c r="B167" s="167"/>
      <c r="C167" s="410"/>
      <c r="D167" s="410"/>
      <c r="E167" s="410"/>
      <c r="F167" s="410"/>
      <c r="G167" s="410"/>
      <c r="H167" s="410"/>
      <c r="I167" s="410"/>
    </row>
    <row r="168" spans="2:9" ht="33" x14ac:dyDescent="0.25">
      <c r="B168" s="167"/>
      <c r="C168" s="410"/>
      <c r="D168" s="410"/>
      <c r="E168" s="410"/>
      <c r="F168" s="410"/>
      <c r="G168" s="410"/>
      <c r="H168" s="410"/>
      <c r="I168" s="410"/>
    </row>
    <row r="169" spans="2:9" ht="33" x14ac:dyDescent="0.25">
      <c r="B169" s="167"/>
      <c r="C169" s="410"/>
      <c r="D169" s="410"/>
      <c r="E169" s="410"/>
      <c r="F169" s="410"/>
      <c r="G169" s="410"/>
      <c r="H169" s="410"/>
      <c r="I169" s="410"/>
    </row>
    <row r="170" spans="2:9" ht="33" x14ac:dyDescent="0.25">
      <c r="B170" s="167"/>
      <c r="C170" s="410"/>
      <c r="D170" s="410"/>
      <c r="E170" s="410"/>
      <c r="F170" s="410"/>
      <c r="G170" s="410"/>
      <c r="H170" s="410"/>
      <c r="I170" s="410"/>
    </row>
    <row r="171" spans="2:9" ht="33" x14ac:dyDescent="0.25">
      <c r="B171" s="167"/>
      <c r="C171" s="410"/>
      <c r="D171" s="410"/>
      <c r="E171" s="410"/>
      <c r="F171" s="410"/>
      <c r="G171" s="410"/>
      <c r="H171" s="410"/>
      <c r="I171" s="410"/>
    </row>
    <row r="172" spans="2:9" ht="33" x14ac:dyDescent="0.25">
      <c r="B172" s="167"/>
      <c r="C172" s="410"/>
      <c r="D172" s="410"/>
      <c r="E172" s="410"/>
      <c r="F172" s="410"/>
      <c r="G172" s="410"/>
      <c r="H172" s="410"/>
      <c r="I172" s="410"/>
    </row>
    <row r="173" spans="2:9" ht="33" x14ac:dyDescent="0.25">
      <c r="B173" s="167"/>
      <c r="C173" s="410"/>
      <c r="D173" s="410"/>
      <c r="E173" s="410"/>
      <c r="F173" s="410"/>
      <c r="G173" s="410"/>
      <c r="H173" s="410"/>
      <c r="I173" s="410"/>
    </row>
    <row r="174" spans="2:9" ht="33" x14ac:dyDescent="0.25">
      <c r="B174" s="167"/>
      <c r="C174" s="410"/>
      <c r="D174" s="410"/>
      <c r="E174" s="410"/>
      <c r="F174" s="410"/>
      <c r="G174" s="410"/>
      <c r="H174" s="410"/>
      <c r="I174" s="410"/>
    </row>
    <row r="175" spans="2:9" ht="33" x14ac:dyDescent="0.25">
      <c r="B175" s="167"/>
      <c r="C175" s="410"/>
      <c r="D175" s="410"/>
      <c r="E175" s="410"/>
      <c r="F175" s="410"/>
      <c r="G175" s="410"/>
      <c r="H175" s="410"/>
      <c r="I175" s="410"/>
    </row>
    <row r="176" spans="2:9" ht="33" x14ac:dyDescent="0.25">
      <c r="B176" s="167"/>
      <c r="C176" s="410"/>
      <c r="D176" s="410"/>
      <c r="E176" s="410"/>
      <c r="F176" s="410"/>
      <c r="G176" s="410"/>
      <c r="H176" s="410"/>
      <c r="I176" s="410"/>
    </row>
    <row r="177" spans="2:9" ht="33" x14ac:dyDescent="0.25">
      <c r="B177" s="167"/>
      <c r="C177" s="410"/>
      <c r="D177" s="410"/>
      <c r="E177" s="410"/>
      <c r="F177" s="410"/>
      <c r="G177" s="410"/>
      <c r="H177" s="410"/>
      <c r="I177" s="410"/>
    </row>
    <row r="178" spans="2:9" ht="33" x14ac:dyDescent="0.25">
      <c r="B178" s="167"/>
      <c r="C178" s="410"/>
      <c r="D178" s="410"/>
      <c r="E178" s="410"/>
      <c r="F178" s="410"/>
      <c r="G178" s="410"/>
      <c r="H178" s="410"/>
      <c r="I178" s="410"/>
    </row>
    <row r="179" spans="2:9" ht="33" x14ac:dyDescent="0.25">
      <c r="B179" s="167"/>
      <c r="C179" s="410"/>
      <c r="D179" s="410"/>
      <c r="E179" s="410"/>
      <c r="F179" s="410"/>
      <c r="G179" s="410"/>
      <c r="H179" s="410"/>
      <c r="I179" s="410"/>
    </row>
    <row r="180" spans="2:9" ht="33" x14ac:dyDescent="0.25">
      <c r="B180" s="167"/>
      <c r="C180" s="410"/>
      <c r="D180" s="410"/>
      <c r="E180" s="410"/>
      <c r="F180" s="410"/>
      <c r="G180" s="410"/>
      <c r="H180" s="410"/>
      <c r="I180" s="410"/>
    </row>
    <row r="181" spans="2:9" ht="33" x14ac:dyDescent="0.25">
      <c r="B181" s="167"/>
      <c r="C181" s="410"/>
      <c r="D181" s="410"/>
      <c r="E181" s="410"/>
      <c r="F181" s="410"/>
      <c r="G181" s="410"/>
      <c r="H181" s="410"/>
      <c r="I181" s="410"/>
    </row>
    <row r="182" spans="2:9" ht="33" x14ac:dyDescent="0.25">
      <c r="B182" s="167"/>
      <c r="C182" s="410"/>
      <c r="D182" s="410"/>
      <c r="E182" s="410"/>
      <c r="F182" s="410"/>
      <c r="G182" s="410"/>
      <c r="H182" s="410"/>
      <c r="I182" s="410"/>
    </row>
    <row r="183" spans="2:9" ht="33" x14ac:dyDescent="0.25">
      <c r="B183" s="167"/>
      <c r="C183" s="410"/>
      <c r="D183" s="410"/>
      <c r="E183" s="410"/>
      <c r="F183" s="410"/>
      <c r="G183" s="410"/>
      <c r="H183" s="410"/>
      <c r="I183" s="410"/>
    </row>
    <row r="184" spans="2:9" ht="33" x14ac:dyDescent="0.25">
      <c r="B184" s="167"/>
      <c r="C184" s="410"/>
      <c r="D184" s="410"/>
      <c r="E184" s="410"/>
      <c r="F184" s="410"/>
      <c r="G184" s="410"/>
      <c r="H184" s="410"/>
      <c r="I184" s="410"/>
    </row>
    <row r="185" spans="2:9" ht="33" x14ac:dyDescent="0.25">
      <c r="B185" s="167"/>
      <c r="C185" s="410"/>
      <c r="D185" s="410"/>
      <c r="E185" s="410"/>
      <c r="F185" s="410"/>
      <c r="G185" s="410"/>
      <c r="H185" s="410"/>
      <c r="I185" s="410"/>
    </row>
    <row r="186" spans="2:9" ht="33" x14ac:dyDescent="0.25">
      <c r="B186" s="167"/>
      <c r="C186" s="410"/>
      <c r="D186" s="410"/>
      <c r="E186" s="410"/>
      <c r="F186" s="410"/>
      <c r="G186" s="410"/>
      <c r="H186" s="410"/>
      <c r="I186" s="410"/>
    </row>
    <row r="187" spans="2:9" ht="33" x14ac:dyDescent="0.25">
      <c r="B187" s="167"/>
      <c r="C187" s="410"/>
      <c r="D187" s="410"/>
      <c r="E187" s="410"/>
      <c r="F187" s="410"/>
      <c r="G187" s="410"/>
      <c r="H187" s="410"/>
      <c r="I187" s="410"/>
    </row>
    <row r="188" spans="2:9" ht="33" x14ac:dyDescent="0.25">
      <c r="B188" s="167"/>
      <c r="C188" s="410"/>
      <c r="D188" s="410"/>
      <c r="E188" s="410"/>
      <c r="F188" s="410"/>
      <c r="G188" s="410"/>
      <c r="H188" s="410"/>
      <c r="I188" s="410"/>
    </row>
    <row r="189" spans="2:9" ht="33" x14ac:dyDescent="0.25">
      <c r="B189" s="167"/>
      <c r="C189" s="410"/>
      <c r="D189" s="410"/>
      <c r="E189" s="410"/>
      <c r="F189" s="410"/>
      <c r="G189" s="410"/>
      <c r="H189" s="410"/>
      <c r="I189" s="410"/>
    </row>
    <row r="190" spans="2:9" ht="33" x14ac:dyDescent="0.25">
      <c r="B190" s="167"/>
      <c r="C190" s="410"/>
      <c r="D190" s="410"/>
      <c r="E190" s="410"/>
      <c r="F190" s="410"/>
      <c r="G190" s="410"/>
      <c r="H190" s="410"/>
      <c r="I190" s="410"/>
    </row>
    <row r="191" spans="2:9" ht="33" x14ac:dyDescent="0.25">
      <c r="B191" s="167"/>
      <c r="C191" s="410"/>
      <c r="D191" s="410"/>
      <c r="E191" s="410"/>
      <c r="F191" s="410"/>
      <c r="G191" s="410"/>
      <c r="H191" s="410"/>
      <c r="I191" s="410"/>
    </row>
    <row r="192" spans="2:9" ht="33" x14ac:dyDescent="0.25">
      <c r="B192" s="167"/>
      <c r="C192" s="410"/>
      <c r="D192" s="410"/>
      <c r="E192" s="410"/>
      <c r="F192" s="410"/>
      <c r="G192" s="410"/>
      <c r="H192" s="410"/>
      <c r="I192" s="410"/>
    </row>
    <row r="193" spans="2:9" ht="33" x14ac:dyDescent="0.25">
      <c r="B193" s="167"/>
      <c r="C193" s="410"/>
      <c r="D193" s="410"/>
      <c r="E193" s="410"/>
      <c r="F193" s="410"/>
      <c r="G193" s="410"/>
      <c r="H193" s="410"/>
      <c r="I193" s="410"/>
    </row>
    <row r="194" spans="2:9" ht="33" x14ac:dyDescent="0.25">
      <c r="B194" s="167"/>
      <c r="C194" s="410"/>
      <c r="D194" s="410"/>
      <c r="E194" s="410"/>
      <c r="F194" s="410"/>
      <c r="G194" s="410"/>
      <c r="H194" s="410"/>
      <c r="I194" s="410"/>
    </row>
    <row r="195" spans="2:9" ht="33" x14ac:dyDescent="0.25">
      <c r="B195" s="167"/>
      <c r="C195" s="410"/>
      <c r="D195" s="410"/>
      <c r="E195" s="410"/>
      <c r="F195" s="410"/>
      <c r="G195" s="410"/>
      <c r="H195" s="410"/>
      <c r="I195" s="410"/>
    </row>
    <row r="196" spans="2:9" ht="33" x14ac:dyDescent="0.25">
      <c r="B196" s="167"/>
      <c r="C196" s="410"/>
      <c r="D196" s="410"/>
      <c r="E196" s="410"/>
      <c r="F196" s="410"/>
      <c r="G196" s="410"/>
      <c r="H196" s="410"/>
      <c r="I196" s="410"/>
    </row>
    <row r="197" spans="2:9" ht="33" x14ac:dyDescent="0.25">
      <c r="B197" s="167"/>
      <c r="C197" s="410"/>
      <c r="D197" s="410"/>
      <c r="E197" s="410"/>
      <c r="F197" s="410"/>
      <c r="G197" s="410"/>
      <c r="H197" s="410"/>
      <c r="I197" s="410"/>
    </row>
    <row r="198" spans="2:9" ht="33" x14ac:dyDescent="0.25">
      <c r="B198" s="167"/>
      <c r="C198" s="410"/>
      <c r="D198" s="410"/>
      <c r="E198" s="410"/>
      <c r="F198" s="410"/>
      <c r="G198" s="410"/>
      <c r="H198" s="410"/>
      <c r="I198" s="410"/>
    </row>
    <row r="199" spans="2:9" ht="33" x14ac:dyDescent="0.25">
      <c r="B199" s="167"/>
      <c r="C199" s="410"/>
      <c r="D199" s="410"/>
      <c r="E199" s="410"/>
      <c r="F199" s="410"/>
      <c r="G199" s="410"/>
      <c r="H199" s="410"/>
      <c r="I199" s="410"/>
    </row>
    <row r="200" spans="2:9" ht="33" x14ac:dyDescent="0.25">
      <c r="B200" s="167"/>
      <c r="C200" s="410"/>
      <c r="D200" s="410"/>
      <c r="E200" s="410"/>
      <c r="F200" s="410"/>
      <c r="G200" s="410"/>
      <c r="H200" s="410"/>
      <c r="I200" s="410"/>
    </row>
    <row r="201" spans="2:9" ht="33" x14ac:dyDescent="0.25">
      <c r="B201" s="167"/>
      <c r="C201" s="410"/>
      <c r="D201" s="410"/>
      <c r="E201" s="410"/>
      <c r="F201" s="410"/>
      <c r="G201" s="410"/>
      <c r="H201" s="410"/>
      <c r="I201" s="410"/>
    </row>
    <row r="202" spans="2:9" ht="33" x14ac:dyDescent="0.25">
      <c r="B202" s="167"/>
      <c r="C202" s="410"/>
      <c r="D202" s="410"/>
      <c r="E202" s="410"/>
      <c r="F202" s="410"/>
      <c r="G202" s="410"/>
      <c r="H202" s="410"/>
      <c r="I202" s="410"/>
    </row>
    <row r="203" spans="2:9" ht="33" x14ac:dyDescent="0.25">
      <c r="B203" s="167"/>
      <c r="C203" s="410"/>
      <c r="D203" s="410"/>
      <c r="E203" s="410"/>
      <c r="F203" s="410"/>
      <c r="G203" s="410"/>
      <c r="H203" s="410"/>
      <c r="I203" s="410"/>
    </row>
    <row r="204" spans="2:9" ht="33" x14ac:dyDescent="0.25">
      <c r="B204" s="167"/>
      <c r="C204" s="410"/>
      <c r="D204" s="410"/>
      <c r="E204" s="410"/>
      <c r="F204" s="410"/>
      <c r="G204" s="410"/>
      <c r="H204" s="410"/>
      <c r="I204" s="410"/>
    </row>
    <row r="205" spans="2:9" ht="33" x14ac:dyDescent="0.25">
      <c r="B205" s="167"/>
      <c r="C205" s="410"/>
      <c r="D205" s="410"/>
      <c r="E205" s="410"/>
      <c r="F205" s="410"/>
      <c r="G205" s="410"/>
      <c r="H205" s="410"/>
      <c r="I205" s="410"/>
    </row>
    <row r="206" spans="2:9" ht="33" x14ac:dyDescent="0.25">
      <c r="B206" s="167"/>
      <c r="C206" s="410"/>
      <c r="D206" s="410"/>
      <c r="E206" s="410"/>
      <c r="F206" s="410"/>
      <c r="G206" s="410"/>
      <c r="H206" s="410"/>
      <c r="I206" s="410"/>
    </row>
    <row r="207" spans="2:9" ht="33" x14ac:dyDescent="0.25">
      <c r="B207" s="167"/>
      <c r="C207" s="410"/>
      <c r="D207" s="410"/>
      <c r="E207" s="410"/>
      <c r="F207" s="410"/>
      <c r="G207" s="410"/>
      <c r="H207" s="410"/>
      <c r="I207" s="410"/>
    </row>
    <row r="208" spans="2:9" ht="33" x14ac:dyDescent="0.25">
      <c r="B208" s="167"/>
      <c r="C208" s="410"/>
      <c r="D208" s="410"/>
      <c r="E208" s="410"/>
      <c r="F208" s="410"/>
      <c r="G208" s="410"/>
      <c r="H208" s="410"/>
      <c r="I208" s="410"/>
    </row>
    <row r="209" spans="2:9" ht="33" x14ac:dyDescent="0.25">
      <c r="B209" s="167"/>
      <c r="C209" s="410"/>
      <c r="D209" s="410"/>
      <c r="E209" s="410"/>
      <c r="F209" s="410"/>
      <c r="G209" s="410"/>
      <c r="H209" s="410"/>
      <c r="I209" s="410"/>
    </row>
    <row r="210" spans="2:9" ht="33" x14ac:dyDescent="0.25">
      <c r="B210" s="167"/>
      <c r="C210" s="410"/>
      <c r="D210" s="410"/>
      <c r="E210" s="410"/>
      <c r="F210" s="410"/>
      <c r="G210" s="410"/>
      <c r="H210" s="410"/>
      <c r="I210" s="410"/>
    </row>
    <row r="211" spans="2:9" ht="33" x14ac:dyDescent="0.25">
      <c r="B211" s="167"/>
      <c r="C211" s="410"/>
      <c r="D211" s="410"/>
      <c r="E211" s="410"/>
      <c r="F211" s="410"/>
      <c r="G211" s="410"/>
      <c r="H211" s="410"/>
      <c r="I211" s="410"/>
    </row>
    <row r="212" spans="2:9" ht="33" x14ac:dyDescent="0.25">
      <c r="B212" s="167"/>
      <c r="C212" s="410"/>
      <c r="D212" s="410"/>
      <c r="E212" s="410"/>
      <c r="F212" s="410"/>
      <c r="G212" s="410"/>
      <c r="H212" s="410"/>
      <c r="I212" s="410"/>
    </row>
    <row r="213" spans="2:9" ht="33" x14ac:dyDescent="0.25">
      <c r="B213" s="167"/>
      <c r="C213" s="410"/>
      <c r="D213" s="410"/>
      <c r="E213" s="410"/>
      <c r="F213" s="410"/>
      <c r="G213" s="410"/>
      <c r="H213" s="410"/>
      <c r="I213" s="410"/>
    </row>
    <row r="214" spans="2:9" ht="33" x14ac:dyDescent="0.25">
      <c r="B214" s="167"/>
      <c r="C214" s="410"/>
      <c r="D214" s="410"/>
      <c r="E214" s="410"/>
      <c r="F214" s="410"/>
      <c r="G214" s="410"/>
      <c r="H214" s="410"/>
      <c r="I214" s="410"/>
    </row>
    <row r="215" spans="2:9" ht="33" x14ac:dyDescent="0.25">
      <c r="B215" s="167"/>
      <c r="C215" s="410"/>
      <c r="D215" s="410"/>
      <c r="E215" s="410"/>
      <c r="F215" s="410"/>
      <c r="G215" s="410"/>
      <c r="H215" s="410"/>
      <c r="I215" s="410"/>
    </row>
    <row r="216" spans="2:9" ht="33" x14ac:dyDescent="0.25">
      <c r="B216" s="167"/>
      <c r="C216" s="410"/>
      <c r="D216" s="410"/>
      <c r="E216" s="410"/>
      <c r="F216" s="410"/>
      <c r="G216" s="410"/>
      <c r="H216" s="410"/>
      <c r="I216" s="410"/>
    </row>
    <row r="217" spans="2:9" ht="33" x14ac:dyDescent="0.25">
      <c r="B217" s="167"/>
      <c r="C217" s="410"/>
      <c r="D217" s="410"/>
      <c r="E217" s="410"/>
      <c r="F217" s="410"/>
      <c r="G217" s="410"/>
      <c r="H217" s="410"/>
      <c r="I217" s="410"/>
    </row>
    <row r="218" spans="2:9" ht="33" x14ac:dyDescent="0.25">
      <c r="B218" s="167"/>
      <c r="C218" s="410"/>
      <c r="D218" s="410"/>
      <c r="E218" s="410"/>
      <c r="F218" s="410"/>
      <c r="G218" s="410"/>
      <c r="H218" s="410"/>
      <c r="I218" s="410"/>
    </row>
    <row r="219" spans="2:9" ht="33" x14ac:dyDescent="0.25">
      <c r="B219" s="167"/>
      <c r="C219" s="410"/>
      <c r="D219" s="410"/>
      <c r="E219" s="410"/>
      <c r="F219" s="410"/>
      <c r="G219" s="410"/>
      <c r="H219" s="410"/>
      <c r="I219" s="410"/>
    </row>
    <row r="220" spans="2:9" ht="33" x14ac:dyDescent="0.25">
      <c r="B220" s="167"/>
      <c r="C220" s="410"/>
      <c r="D220" s="410"/>
      <c r="E220" s="410"/>
      <c r="F220" s="410"/>
      <c r="G220" s="410"/>
      <c r="H220" s="410"/>
      <c r="I220" s="410"/>
    </row>
    <row r="221" spans="2:9" ht="33" x14ac:dyDescent="0.25">
      <c r="B221" s="167"/>
      <c r="C221" s="410"/>
      <c r="D221" s="410"/>
      <c r="E221" s="410"/>
      <c r="F221" s="410"/>
      <c r="G221" s="410"/>
      <c r="H221" s="410"/>
      <c r="I221" s="410"/>
    </row>
    <row r="222" spans="2:9" ht="33" x14ac:dyDescent="0.25">
      <c r="B222" s="167"/>
      <c r="C222" s="410"/>
      <c r="D222" s="410"/>
      <c r="E222" s="410"/>
      <c r="F222" s="410"/>
      <c r="G222" s="410"/>
      <c r="H222" s="410"/>
      <c r="I222" s="410"/>
    </row>
    <row r="223" spans="2:9" ht="33" x14ac:dyDescent="0.25">
      <c r="B223" s="167"/>
      <c r="C223" s="410"/>
      <c r="D223" s="410"/>
      <c r="E223" s="410"/>
      <c r="F223" s="410"/>
      <c r="G223" s="410"/>
      <c r="H223" s="410"/>
      <c r="I223" s="410"/>
    </row>
    <row r="224" spans="2:9" ht="33" x14ac:dyDescent="0.25">
      <c r="B224" s="167"/>
      <c r="C224" s="410"/>
      <c r="D224" s="410"/>
      <c r="E224" s="410"/>
      <c r="F224" s="410"/>
      <c r="G224" s="410"/>
      <c r="H224" s="410"/>
      <c r="I224" s="410"/>
    </row>
    <row r="225" spans="2:9" ht="33" x14ac:dyDescent="0.25">
      <c r="B225" s="167"/>
      <c r="C225" s="410"/>
      <c r="D225" s="410"/>
      <c r="E225" s="410"/>
      <c r="F225" s="410"/>
      <c r="G225" s="410"/>
      <c r="H225" s="410"/>
      <c r="I225" s="410"/>
    </row>
    <row r="226" spans="2:9" ht="33" x14ac:dyDescent="0.25">
      <c r="B226" s="167"/>
      <c r="C226" s="410"/>
      <c r="D226" s="410"/>
      <c r="E226" s="410"/>
      <c r="F226" s="410"/>
      <c r="G226" s="410"/>
      <c r="H226" s="410"/>
      <c r="I226" s="410"/>
    </row>
    <row r="227" spans="2:9" ht="33" x14ac:dyDescent="0.25">
      <c r="B227" s="167"/>
      <c r="C227" s="410"/>
      <c r="D227" s="410"/>
      <c r="E227" s="410"/>
      <c r="F227" s="410"/>
      <c r="G227" s="410"/>
      <c r="H227" s="410"/>
      <c r="I227" s="410"/>
    </row>
    <row r="228" spans="2:9" ht="33" x14ac:dyDescent="0.25">
      <c r="B228" s="167"/>
      <c r="C228" s="410"/>
      <c r="D228" s="410"/>
      <c r="E228" s="410"/>
      <c r="F228" s="410"/>
      <c r="G228" s="410"/>
      <c r="H228" s="410"/>
      <c r="I228" s="410"/>
    </row>
    <row r="229" spans="2:9" ht="33" x14ac:dyDescent="0.25">
      <c r="B229" s="167"/>
      <c r="C229" s="410"/>
      <c r="D229" s="410"/>
      <c r="E229" s="410"/>
      <c r="F229" s="410"/>
      <c r="G229" s="410"/>
      <c r="H229" s="410"/>
      <c r="I229" s="410"/>
    </row>
    <row r="230" spans="2:9" ht="33" x14ac:dyDescent="0.25">
      <c r="B230" s="167"/>
      <c r="C230" s="410"/>
      <c r="D230" s="410"/>
      <c r="E230" s="410"/>
      <c r="F230" s="410"/>
      <c r="G230" s="410"/>
      <c r="H230" s="410"/>
      <c r="I230" s="410"/>
    </row>
    <row r="231" spans="2:9" ht="33" x14ac:dyDescent="0.25">
      <c r="B231" s="167"/>
      <c r="C231" s="410"/>
      <c r="D231" s="410"/>
      <c r="E231" s="410"/>
      <c r="F231" s="410"/>
      <c r="G231" s="410"/>
      <c r="H231" s="410"/>
      <c r="I231" s="410"/>
    </row>
    <row r="232" spans="2:9" ht="33" x14ac:dyDescent="0.25">
      <c r="B232" s="167"/>
      <c r="C232" s="410"/>
      <c r="D232" s="410"/>
      <c r="E232" s="410"/>
      <c r="F232" s="410"/>
      <c r="G232" s="410"/>
      <c r="H232" s="410"/>
      <c r="I232" s="410"/>
    </row>
    <row r="233" spans="2:9" ht="33" x14ac:dyDescent="0.25">
      <c r="B233" s="167"/>
      <c r="C233" s="410"/>
      <c r="D233" s="410"/>
      <c r="E233" s="410"/>
      <c r="F233" s="410"/>
      <c r="G233" s="410"/>
      <c r="H233" s="410"/>
      <c r="I233" s="410"/>
    </row>
    <row r="234" spans="2:9" ht="33" x14ac:dyDescent="0.25">
      <c r="B234" s="167"/>
      <c r="C234" s="410"/>
      <c r="D234" s="410"/>
      <c r="E234" s="410"/>
      <c r="F234" s="410"/>
      <c r="G234" s="410"/>
      <c r="H234" s="410"/>
      <c r="I234" s="410"/>
    </row>
    <row r="235" spans="2:9" ht="33" x14ac:dyDescent="0.25">
      <c r="B235" s="167"/>
      <c r="C235" s="410"/>
      <c r="D235" s="410"/>
      <c r="E235" s="410"/>
      <c r="F235" s="410"/>
      <c r="G235" s="410"/>
      <c r="H235" s="410"/>
      <c r="I235" s="410"/>
    </row>
    <row r="236" spans="2:9" ht="33" x14ac:dyDescent="0.25">
      <c r="B236" s="167"/>
      <c r="C236" s="410"/>
      <c r="D236" s="410"/>
      <c r="E236" s="410"/>
      <c r="F236" s="410"/>
      <c r="G236" s="410"/>
      <c r="H236" s="410"/>
      <c r="I236" s="410"/>
    </row>
    <row r="237" spans="2:9" ht="33" x14ac:dyDescent="0.25">
      <c r="B237" s="167"/>
      <c r="C237" s="410"/>
      <c r="D237" s="410"/>
      <c r="E237" s="410"/>
      <c r="F237" s="410"/>
      <c r="G237" s="410"/>
      <c r="H237" s="410"/>
      <c r="I237" s="410"/>
    </row>
    <row r="238" spans="2:9" ht="33" x14ac:dyDescent="0.25">
      <c r="B238" s="167"/>
      <c r="C238" s="410"/>
      <c r="D238" s="410"/>
      <c r="E238" s="410"/>
      <c r="F238" s="410"/>
      <c r="G238" s="410"/>
      <c r="H238" s="410"/>
      <c r="I238" s="410"/>
    </row>
    <row r="239" spans="2:9" ht="33" x14ac:dyDescent="0.25">
      <c r="B239" s="167"/>
      <c r="C239" s="410"/>
      <c r="D239" s="410"/>
      <c r="E239" s="410"/>
      <c r="F239" s="410"/>
      <c r="G239" s="410"/>
      <c r="H239" s="410"/>
      <c r="I239" s="410"/>
    </row>
    <row r="240" spans="2:9" ht="33" x14ac:dyDescent="0.25">
      <c r="B240" s="167"/>
      <c r="C240" s="410"/>
      <c r="D240" s="410"/>
      <c r="E240" s="410"/>
      <c r="F240" s="410"/>
      <c r="G240" s="410"/>
      <c r="H240" s="410"/>
      <c r="I240" s="410"/>
    </row>
    <row r="241" spans="2:9" ht="33" x14ac:dyDescent="0.25">
      <c r="B241" s="167"/>
      <c r="C241" s="410"/>
      <c r="D241" s="410"/>
      <c r="E241" s="410"/>
      <c r="F241" s="410"/>
      <c r="G241" s="410"/>
      <c r="H241" s="410"/>
      <c r="I241" s="410"/>
    </row>
    <row r="242" spans="2:9" ht="33" x14ac:dyDescent="0.25">
      <c r="B242" s="167"/>
      <c r="C242" s="410"/>
      <c r="D242" s="410"/>
      <c r="E242" s="410"/>
      <c r="F242" s="410"/>
      <c r="G242" s="410"/>
      <c r="H242" s="410"/>
      <c r="I242" s="410"/>
    </row>
    <row r="243" spans="2:9" ht="33" x14ac:dyDescent="0.25">
      <c r="B243" s="167"/>
      <c r="C243" s="410"/>
      <c r="D243" s="410"/>
      <c r="E243" s="410"/>
      <c r="F243" s="410"/>
      <c r="G243" s="410"/>
      <c r="H243" s="410"/>
      <c r="I243" s="410"/>
    </row>
    <row r="244" spans="2:9" ht="33" x14ac:dyDescent="0.25">
      <c r="B244" s="167"/>
      <c r="C244" s="410"/>
      <c r="D244" s="410"/>
      <c r="E244" s="410"/>
      <c r="F244" s="410"/>
      <c r="G244" s="410"/>
      <c r="H244" s="410"/>
      <c r="I244" s="410"/>
    </row>
    <row r="245" spans="2:9" ht="33" x14ac:dyDescent="0.25">
      <c r="B245" s="167"/>
      <c r="C245" s="410"/>
      <c r="D245" s="410"/>
      <c r="E245" s="410"/>
      <c r="F245" s="410"/>
      <c r="G245" s="410"/>
      <c r="H245" s="410"/>
      <c r="I245" s="410"/>
    </row>
    <row r="246" spans="2:9" ht="33" x14ac:dyDescent="0.25">
      <c r="B246" s="167"/>
      <c r="C246" s="410"/>
      <c r="D246" s="410"/>
      <c r="E246" s="410"/>
      <c r="F246" s="410"/>
      <c r="G246" s="410"/>
      <c r="H246" s="410"/>
      <c r="I246" s="410"/>
    </row>
    <row r="247" spans="2:9" ht="33" x14ac:dyDescent="0.25">
      <c r="B247" s="167"/>
      <c r="C247" s="410"/>
      <c r="D247" s="410"/>
      <c r="E247" s="410"/>
      <c r="F247" s="410"/>
      <c r="G247" s="410"/>
      <c r="H247" s="410"/>
      <c r="I247" s="410"/>
    </row>
    <row r="248" spans="2:9" ht="33" x14ac:dyDescent="0.25">
      <c r="B248" s="167"/>
      <c r="C248" s="410"/>
      <c r="D248" s="410"/>
      <c r="E248" s="410"/>
      <c r="F248" s="410"/>
      <c r="G248" s="410"/>
      <c r="H248" s="410"/>
      <c r="I248" s="410"/>
    </row>
    <row r="249" spans="2:9" ht="33" x14ac:dyDescent="0.25">
      <c r="B249" s="167"/>
      <c r="C249" s="410"/>
      <c r="D249" s="410"/>
      <c r="E249" s="410"/>
      <c r="F249" s="410"/>
      <c r="G249" s="410"/>
      <c r="H249" s="410"/>
      <c r="I249" s="410"/>
    </row>
    <row r="250" spans="2:9" ht="33" x14ac:dyDescent="0.25">
      <c r="B250" s="167"/>
      <c r="C250" s="410"/>
      <c r="D250" s="410"/>
      <c r="E250" s="410"/>
      <c r="F250" s="410"/>
      <c r="G250" s="410"/>
      <c r="H250" s="410"/>
      <c r="I250" s="410"/>
    </row>
    <row r="251" spans="2:9" ht="33" x14ac:dyDescent="0.25">
      <c r="B251" s="167"/>
      <c r="C251" s="410"/>
      <c r="D251" s="410"/>
      <c r="E251" s="410"/>
      <c r="F251" s="410"/>
      <c r="G251" s="410"/>
      <c r="H251" s="410"/>
      <c r="I251" s="410"/>
    </row>
    <row r="252" spans="2:9" ht="33" x14ac:dyDescent="0.25">
      <c r="B252" s="167"/>
      <c r="C252" s="410"/>
      <c r="D252" s="410"/>
      <c r="E252" s="410"/>
      <c r="F252" s="410"/>
      <c r="G252" s="410"/>
      <c r="H252" s="410"/>
      <c r="I252" s="410"/>
    </row>
    <row r="253" spans="2:9" ht="33" x14ac:dyDescent="0.25">
      <c r="B253" s="167"/>
      <c r="C253" s="410"/>
      <c r="D253" s="410"/>
      <c r="E253" s="410"/>
      <c r="F253" s="410"/>
      <c r="G253" s="410"/>
      <c r="H253" s="410"/>
      <c r="I253" s="410"/>
    </row>
    <row r="254" spans="2:9" ht="33" x14ac:dyDescent="0.25">
      <c r="B254" s="167"/>
      <c r="C254" s="410"/>
      <c r="D254" s="410"/>
      <c r="E254" s="410"/>
      <c r="F254" s="410"/>
      <c r="G254" s="410"/>
      <c r="H254" s="410"/>
      <c r="I254" s="410"/>
    </row>
    <row r="255" spans="2:9" ht="33" x14ac:dyDescent="0.25">
      <c r="B255" s="167"/>
      <c r="C255" s="410"/>
      <c r="D255" s="410"/>
      <c r="E255" s="410"/>
      <c r="F255" s="410"/>
      <c r="G255" s="410"/>
      <c r="H255" s="410"/>
      <c r="I255" s="410"/>
    </row>
    <row r="256" spans="2:9" ht="33" x14ac:dyDescent="0.25">
      <c r="B256" s="167"/>
      <c r="C256" s="410"/>
      <c r="D256" s="410"/>
      <c r="E256" s="410"/>
      <c r="F256" s="410"/>
      <c r="G256" s="410"/>
      <c r="H256" s="410"/>
      <c r="I256" s="410"/>
    </row>
    <row r="257" spans="2:9" ht="33" x14ac:dyDescent="0.25">
      <c r="B257" s="167"/>
      <c r="C257" s="410"/>
      <c r="D257" s="410"/>
      <c r="E257" s="410"/>
      <c r="F257" s="410"/>
      <c r="G257" s="410"/>
      <c r="H257" s="410"/>
      <c r="I257" s="410"/>
    </row>
    <row r="258" spans="2:9" ht="33" x14ac:dyDescent="0.25">
      <c r="B258" s="167"/>
      <c r="C258" s="410"/>
      <c r="D258" s="410"/>
      <c r="E258" s="410"/>
      <c r="F258" s="410"/>
      <c r="G258" s="410"/>
      <c r="H258" s="410"/>
      <c r="I258" s="410"/>
    </row>
    <row r="259" spans="2:9" ht="33" x14ac:dyDescent="0.25">
      <c r="B259" s="167"/>
      <c r="C259" s="410"/>
      <c r="D259" s="410"/>
      <c r="E259" s="410"/>
      <c r="F259" s="410"/>
      <c r="G259" s="410"/>
      <c r="H259" s="410"/>
      <c r="I259" s="410"/>
    </row>
    <row r="260" spans="2:9" ht="33" x14ac:dyDescent="0.25">
      <c r="B260" s="167"/>
      <c r="C260" s="410"/>
      <c r="D260" s="410"/>
      <c r="E260" s="410"/>
      <c r="F260" s="410"/>
      <c r="G260" s="410"/>
      <c r="H260" s="410"/>
      <c r="I260" s="410"/>
    </row>
    <row r="261" spans="2:9" ht="33" x14ac:dyDescent="0.25">
      <c r="B261" s="167"/>
      <c r="C261" s="410"/>
      <c r="D261" s="410"/>
      <c r="E261" s="410"/>
      <c r="F261" s="410"/>
      <c r="G261" s="410"/>
      <c r="H261" s="410"/>
      <c r="I261" s="410"/>
    </row>
    <row r="262" spans="2:9" ht="33" x14ac:dyDescent="0.25">
      <c r="B262" s="167"/>
      <c r="C262" s="410"/>
      <c r="D262" s="410"/>
      <c r="E262" s="410"/>
      <c r="F262" s="410"/>
      <c r="G262" s="410"/>
      <c r="H262" s="410"/>
      <c r="I262" s="410"/>
    </row>
    <row r="263" spans="2:9" ht="33" x14ac:dyDescent="0.25">
      <c r="B263" s="167"/>
      <c r="C263" s="410"/>
      <c r="D263" s="410"/>
      <c r="E263" s="410"/>
      <c r="F263" s="410"/>
      <c r="G263" s="410"/>
      <c r="H263" s="410"/>
      <c r="I263" s="410"/>
    </row>
    <row r="264" spans="2:9" ht="33" x14ac:dyDescent="0.25">
      <c r="B264" s="167"/>
      <c r="C264" s="410"/>
      <c r="D264" s="410"/>
      <c r="E264" s="410"/>
      <c r="F264" s="410"/>
      <c r="G264" s="410"/>
      <c r="H264" s="410"/>
      <c r="I264" s="410"/>
    </row>
    <row r="265" spans="2:9" ht="33" x14ac:dyDescent="0.25">
      <c r="B265" s="167"/>
      <c r="C265" s="410"/>
      <c r="D265" s="410"/>
      <c r="E265" s="410"/>
      <c r="F265" s="410"/>
      <c r="G265" s="410"/>
      <c r="H265" s="410"/>
      <c r="I265" s="410"/>
    </row>
    <row r="266" spans="2:9" ht="33" x14ac:dyDescent="0.25">
      <c r="B266" s="167"/>
      <c r="C266" s="410"/>
      <c r="D266" s="410"/>
      <c r="E266" s="410"/>
      <c r="F266" s="410"/>
      <c r="G266" s="410"/>
      <c r="H266" s="410"/>
      <c r="I266" s="410"/>
    </row>
    <row r="267" spans="2:9" ht="33" x14ac:dyDescent="0.25">
      <c r="B267" s="167"/>
      <c r="C267" s="410"/>
      <c r="D267" s="410"/>
      <c r="E267" s="410"/>
      <c r="F267" s="410"/>
      <c r="G267" s="410"/>
      <c r="H267" s="410"/>
      <c r="I267" s="410"/>
    </row>
    <row r="268" spans="2:9" ht="33" x14ac:dyDescent="0.25">
      <c r="B268" s="167"/>
      <c r="C268" s="410"/>
      <c r="D268" s="410"/>
      <c r="E268" s="410"/>
      <c r="F268" s="410"/>
      <c r="G268" s="410"/>
      <c r="H268" s="410"/>
      <c r="I268" s="410"/>
    </row>
    <row r="269" spans="2:9" ht="33" x14ac:dyDescent="0.25">
      <c r="B269" s="167"/>
      <c r="C269" s="410"/>
      <c r="D269" s="410"/>
      <c r="E269" s="410"/>
      <c r="F269" s="410"/>
      <c r="G269" s="410"/>
      <c r="H269" s="410"/>
      <c r="I269" s="410"/>
    </row>
    <row r="270" spans="2:9" ht="33" x14ac:dyDescent="0.25">
      <c r="B270" s="167"/>
      <c r="C270" s="410"/>
      <c r="D270" s="410"/>
      <c r="E270" s="410"/>
      <c r="F270" s="410"/>
      <c r="G270" s="410"/>
      <c r="H270" s="410"/>
      <c r="I270" s="410"/>
    </row>
    <row r="271" spans="2:9" ht="33" x14ac:dyDescent="0.25">
      <c r="B271" s="167"/>
      <c r="C271" s="410"/>
      <c r="D271" s="410"/>
      <c r="E271" s="410"/>
      <c r="F271" s="410"/>
      <c r="G271" s="410"/>
      <c r="H271" s="410"/>
      <c r="I271" s="410"/>
    </row>
    <row r="272" spans="2:9" ht="33" x14ac:dyDescent="0.25">
      <c r="B272" s="167"/>
      <c r="C272" s="410"/>
      <c r="D272" s="410"/>
      <c r="E272" s="410"/>
      <c r="F272" s="410"/>
      <c r="G272" s="410"/>
      <c r="H272" s="410"/>
      <c r="I272" s="410"/>
    </row>
    <row r="273" spans="2:9" ht="33" x14ac:dyDescent="0.25">
      <c r="B273" s="167"/>
      <c r="C273" s="410"/>
      <c r="D273" s="410"/>
      <c r="E273" s="410"/>
      <c r="F273" s="410"/>
      <c r="G273" s="410"/>
      <c r="H273" s="410"/>
      <c r="I273" s="410"/>
    </row>
    <row r="274" spans="2:9" ht="33" x14ac:dyDescent="0.25">
      <c r="B274" s="167"/>
      <c r="C274" s="410"/>
      <c r="D274" s="410"/>
      <c r="E274" s="410"/>
      <c r="F274" s="410"/>
      <c r="G274" s="410"/>
      <c r="H274" s="410"/>
      <c r="I274" s="410"/>
    </row>
    <row r="275" spans="2:9" ht="33" x14ac:dyDescent="0.25">
      <c r="B275" s="167"/>
      <c r="C275" s="410"/>
      <c r="D275" s="410"/>
      <c r="E275" s="410"/>
      <c r="F275" s="410"/>
      <c r="G275" s="410"/>
      <c r="H275" s="410"/>
      <c r="I275" s="410"/>
    </row>
    <row r="276" spans="2:9" ht="33" x14ac:dyDescent="0.25">
      <c r="B276" s="167"/>
      <c r="C276" s="410"/>
      <c r="D276" s="410"/>
      <c r="E276" s="410"/>
      <c r="F276" s="410"/>
      <c r="G276" s="410"/>
      <c r="H276" s="410"/>
      <c r="I276" s="410"/>
    </row>
    <row r="277" spans="2:9" ht="33" x14ac:dyDescent="0.25">
      <c r="B277" s="167"/>
      <c r="C277" s="410"/>
      <c r="D277" s="410"/>
      <c r="E277" s="410"/>
      <c r="F277" s="410"/>
      <c r="G277" s="410"/>
      <c r="H277" s="410"/>
      <c r="I277" s="410"/>
    </row>
    <row r="278" spans="2:9" ht="33" x14ac:dyDescent="0.25">
      <c r="B278" s="167"/>
      <c r="C278" s="410"/>
      <c r="D278" s="410"/>
      <c r="E278" s="410"/>
      <c r="F278" s="410"/>
      <c r="G278" s="410"/>
      <c r="H278" s="410"/>
      <c r="I278" s="410"/>
    </row>
    <row r="279" spans="2:9" ht="33" x14ac:dyDescent="0.25">
      <c r="B279" s="167"/>
      <c r="C279" s="410"/>
      <c r="D279" s="410"/>
      <c r="E279" s="410"/>
      <c r="F279" s="410"/>
      <c r="G279" s="410"/>
      <c r="H279" s="410"/>
      <c r="I279" s="410"/>
    </row>
    <row r="280" spans="2:9" ht="33" x14ac:dyDescent="0.25">
      <c r="B280" s="167"/>
      <c r="C280" s="410"/>
      <c r="D280" s="410"/>
      <c r="E280" s="410"/>
      <c r="F280" s="410"/>
      <c r="G280" s="410"/>
      <c r="H280" s="410"/>
      <c r="I280" s="410"/>
    </row>
    <row r="281" spans="2:9" ht="33" x14ac:dyDescent="0.25">
      <c r="B281" s="167"/>
      <c r="C281" s="410"/>
      <c r="D281" s="410"/>
      <c r="E281" s="410"/>
      <c r="F281" s="410"/>
      <c r="G281" s="410"/>
      <c r="H281" s="410"/>
      <c r="I281" s="410"/>
    </row>
    <row r="282" spans="2:9" ht="33" x14ac:dyDescent="0.25">
      <c r="B282" s="167"/>
      <c r="C282" s="410"/>
      <c r="D282" s="410"/>
      <c r="E282" s="410"/>
      <c r="F282" s="410"/>
      <c r="G282" s="410"/>
      <c r="H282" s="410"/>
      <c r="I282" s="410"/>
    </row>
    <row r="283" spans="2:9" ht="33" x14ac:dyDescent="0.25">
      <c r="B283" s="167"/>
      <c r="C283" s="410"/>
      <c r="D283" s="410"/>
      <c r="E283" s="410"/>
      <c r="F283" s="410"/>
      <c r="G283" s="410"/>
      <c r="H283" s="410"/>
      <c r="I283" s="410"/>
    </row>
    <row r="284" spans="2:9" ht="33" x14ac:dyDescent="0.25">
      <c r="B284" s="167"/>
      <c r="C284" s="410"/>
      <c r="D284" s="410"/>
      <c r="E284" s="410"/>
      <c r="F284" s="410"/>
      <c r="G284" s="410"/>
      <c r="H284" s="410"/>
      <c r="I284" s="410"/>
    </row>
    <row r="285" spans="2:9" ht="33" x14ac:dyDescent="0.25">
      <c r="B285" s="167"/>
      <c r="C285" s="410"/>
      <c r="D285" s="410"/>
      <c r="E285" s="410"/>
      <c r="F285" s="410"/>
      <c r="G285" s="410"/>
      <c r="H285" s="410"/>
      <c r="I285" s="410"/>
    </row>
    <row r="286" spans="2:9" ht="33" x14ac:dyDescent="0.25">
      <c r="B286" s="167"/>
      <c r="C286" s="410"/>
      <c r="D286" s="410"/>
      <c r="E286" s="410"/>
      <c r="F286" s="410"/>
      <c r="G286" s="410"/>
      <c r="H286" s="410"/>
      <c r="I286" s="410"/>
    </row>
    <row r="287" spans="2:9" ht="33" x14ac:dyDescent="0.25">
      <c r="B287" s="167"/>
      <c r="C287" s="410"/>
      <c r="D287" s="410"/>
      <c r="E287" s="410"/>
      <c r="F287" s="410"/>
      <c r="G287" s="410"/>
      <c r="H287" s="410"/>
      <c r="I287" s="410"/>
    </row>
    <row r="288" spans="2:9" ht="33" x14ac:dyDescent="0.25">
      <c r="B288" s="167"/>
      <c r="C288" s="410"/>
      <c r="D288" s="410"/>
      <c r="E288" s="410"/>
      <c r="F288" s="410"/>
      <c r="G288" s="410"/>
      <c r="H288" s="410"/>
      <c r="I288" s="410"/>
    </row>
    <row r="289" spans="2:9" ht="33" x14ac:dyDescent="0.25">
      <c r="B289" s="167"/>
      <c r="C289" s="410"/>
      <c r="D289" s="410"/>
      <c r="E289" s="410"/>
      <c r="F289" s="410"/>
      <c r="G289" s="410"/>
      <c r="H289" s="410"/>
      <c r="I289" s="410"/>
    </row>
    <row r="290" spans="2:9" ht="33" x14ac:dyDescent="0.25">
      <c r="B290" s="167"/>
      <c r="C290" s="410"/>
      <c r="D290" s="410"/>
      <c r="E290" s="410"/>
      <c r="F290" s="410"/>
      <c r="G290" s="410"/>
      <c r="H290" s="410"/>
      <c r="I290" s="410"/>
    </row>
    <row r="291" spans="2:9" ht="33" x14ac:dyDescent="0.25">
      <c r="B291" s="167"/>
      <c r="C291" s="410"/>
      <c r="D291" s="410"/>
      <c r="E291" s="410"/>
      <c r="F291" s="410"/>
      <c r="G291" s="410"/>
      <c r="H291" s="410"/>
      <c r="I291" s="410"/>
    </row>
    <row r="292" spans="2:9" ht="33" x14ac:dyDescent="0.25">
      <c r="B292" s="167"/>
      <c r="C292" s="410"/>
      <c r="D292" s="410"/>
      <c r="E292" s="410"/>
      <c r="F292" s="410"/>
      <c r="G292" s="410"/>
      <c r="H292" s="410"/>
      <c r="I292" s="410"/>
    </row>
    <row r="293" spans="2:9" ht="33" x14ac:dyDescent="0.25">
      <c r="B293" s="167"/>
      <c r="C293" s="410"/>
      <c r="D293" s="410"/>
      <c r="E293" s="410"/>
      <c r="F293" s="410"/>
      <c r="G293" s="410"/>
      <c r="H293" s="410"/>
      <c r="I293" s="410"/>
    </row>
    <row r="294" spans="2:9" ht="33" x14ac:dyDescent="0.25">
      <c r="B294" s="167"/>
      <c r="C294" s="410"/>
      <c r="D294" s="410"/>
      <c r="E294" s="410"/>
      <c r="F294" s="410"/>
      <c r="G294" s="410"/>
      <c r="H294" s="410"/>
      <c r="I294" s="410"/>
    </row>
    <row r="295" spans="2:9" ht="33" x14ac:dyDescent="0.25">
      <c r="B295" s="167"/>
      <c r="C295" s="410"/>
      <c r="D295" s="410"/>
      <c r="E295" s="410"/>
      <c r="F295" s="410"/>
      <c r="G295" s="410"/>
      <c r="H295" s="410"/>
      <c r="I295" s="410"/>
    </row>
    <row r="296" spans="2:9" ht="33" x14ac:dyDescent="0.25">
      <c r="B296" s="167"/>
      <c r="C296" s="410"/>
      <c r="D296" s="410"/>
      <c r="E296" s="410"/>
      <c r="F296" s="410"/>
      <c r="G296" s="410"/>
      <c r="H296" s="410"/>
      <c r="I296" s="410"/>
    </row>
    <row r="297" spans="2:9" ht="33" x14ac:dyDescent="0.25">
      <c r="B297" s="167"/>
      <c r="C297" s="410"/>
      <c r="D297" s="410"/>
      <c r="E297" s="410"/>
      <c r="F297" s="410"/>
      <c r="G297" s="410"/>
      <c r="H297" s="410"/>
      <c r="I297" s="410"/>
    </row>
    <row r="298" spans="2:9" ht="33" x14ac:dyDescent="0.25">
      <c r="B298" s="167"/>
      <c r="C298" s="410"/>
      <c r="D298" s="410"/>
      <c r="E298" s="410"/>
      <c r="F298" s="410"/>
      <c r="G298" s="410"/>
      <c r="H298" s="410"/>
      <c r="I298" s="410"/>
    </row>
    <row r="299" spans="2:9" ht="33" x14ac:dyDescent="0.25">
      <c r="B299" s="167"/>
      <c r="C299" s="410"/>
      <c r="D299" s="410"/>
      <c r="E299" s="410"/>
      <c r="F299" s="410"/>
      <c r="G299" s="410"/>
      <c r="H299" s="410"/>
      <c r="I299" s="410"/>
    </row>
    <row r="300" spans="2:9" ht="33" x14ac:dyDescent="0.25">
      <c r="B300" s="167"/>
      <c r="C300" s="410"/>
      <c r="D300" s="410"/>
      <c r="E300" s="410"/>
      <c r="F300" s="410"/>
      <c r="G300" s="410"/>
      <c r="H300" s="410"/>
      <c r="I300" s="410"/>
    </row>
    <row r="301" spans="2:9" ht="33" x14ac:dyDescent="0.25">
      <c r="B301" s="167"/>
      <c r="C301" s="410"/>
      <c r="D301" s="410"/>
      <c r="E301" s="410"/>
      <c r="F301" s="410"/>
      <c r="G301" s="410"/>
      <c r="H301" s="410"/>
      <c r="I301" s="410"/>
    </row>
    <row r="302" spans="2:9" ht="33" x14ac:dyDescent="0.25">
      <c r="B302" s="167"/>
      <c r="C302" s="410"/>
      <c r="D302" s="410"/>
      <c r="E302" s="410"/>
      <c r="F302" s="410"/>
      <c r="G302" s="410"/>
      <c r="H302" s="410"/>
      <c r="I302" s="410"/>
    </row>
    <row r="303" spans="2:9" ht="33" x14ac:dyDescent="0.25">
      <c r="B303" s="167"/>
      <c r="C303" s="410"/>
      <c r="D303" s="410"/>
      <c r="E303" s="410"/>
      <c r="F303" s="410"/>
      <c r="G303" s="410"/>
      <c r="H303" s="410"/>
      <c r="I303" s="410"/>
    </row>
    <row r="304" spans="2:9" ht="33" x14ac:dyDescent="0.25">
      <c r="B304" s="167"/>
      <c r="C304" s="410"/>
      <c r="D304" s="410"/>
      <c r="E304" s="410"/>
      <c r="F304" s="410"/>
      <c r="G304" s="410"/>
      <c r="H304" s="410"/>
      <c r="I304" s="410"/>
    </row>
    <row r="305" spans="2:9" ht="33" x14ac:dyDescent="0.25">
      <c r="B305" s="167"/>
      <c r="C305" s="410"/>
      <c r="D305" s="410"/>
      <c r="E305" s="410"/>
      <c r="F305" s="410"/>
      <c r="G305" s="410"/>
      <c r="H305" s="410"/>
      <c r="I305" s="410"/>
    </row>
    <row r="306" spans="2:9" ht="33" x14ac:dyDescent="0.25">
      <c r="B306" s="167"/>
      <c r="C306" s="410"/>
      <c r="D306" s="410"/>
      <c r="E306" s="410"/>
      <c r="F306" s="410"/>
      <c r="G306" s="410"/>
      <c r="H306" s="410"/>
      <c r="I306" s="410"/>
    </row>
    <row r="307" spans="2:9" ht="33" x14ac:dyDescent="0.25">
      <c r="B307" s="167"/>
      <c r="C307" s="410"/>
      <c r="D307" s="410"/>
      <c r="E307" s="410"/>
      <c r="F307" s="410"/>
      <c r="G307" s="410"/>
      <c r="H307" s="410"/>
      <c r="I307" s="410"/>
    </row>
    <row r="308" spans="2:9" ht="33" x14ac:dyDescent="0.25">
      <c r="B308" s="167"/>
      <c r="C308" s="410"/>
      <c r="D308" s="410"/>
      <c r="E308" s="410"/>
      <c r="F308" s="410"/>
      <c r="G308" s="410"/>
      <c r="H308" s="410"/>
      <c r="I308" s="410"/>
    </row>
    <row r="309" spans="2:9" ht="33" x14ac:dyDescent="0.25">
      <c r="B309" s="167"/>
      <c r="C309" s="410"/>
      <c r="D309" s="410"/>
      <c r="E309" s="410"/>
      <c r="F309" s="410"/>
      <c r="G309" s="410"/>
      <c r="H309" s="410"/>
      <c r="I309" s="410"/>
    </row>
    <row r="310" spans="2:9" ht="33" x14ac:dyDescent="0.25">
      <c r="B310" s="167"/>
      <c r="C310" s="410"/>
      <c r="D310" s="410"/>
      <c r="E310" s="410"/>
      <c r="F310" s="410"/>
      <c r="G310" s="410"/>
      <c r="H310" s="410"/>
      <c r="I310" s="410"/>
    </row>
    <row r="311" spans="2:9" ht="33" x14ac:dyDescent="0.25">
      <c r="B311" s="167"/>
      <c r="C311" s="410"/>
      <c r="D311" s="410"/>
      <c r="E311" s="410"/>
      <c r="F311" s="410"/>
      <c r="G311" s="410"/>
      <c r="H311" s="410"/>
      <c r="I311" s="410"/>
    </row>
    <row r="312" spans="2:9" ht="33" x14ac:dyDescent="0.25">
      <c r="B312" s="167"/>
      <c r="C312" s="410"/>
      <c r="D312" s="410"/>
      <c r="E312" s="410"/>
      <c r="F312" s="410"/>
      <c r="G312" s="410"/>
      <c r="H312" s="410"/>
      <c r="I312" s="410"/>
    </row>
    <row r="313" spans="2:9" ht="33" x14ac:dyDescent="0.25">
      <c r="B313" s="167"/>
      <c r="C313" s="410"/>
      <c r="D313" s="410"/>
      <c r="E313" s="410"/>
      <c r="F313" s="410"/>
      <c r="G313" s="410"/>
      <c r="H313" s="410"/>
      <c r="I313" s="410"/>
    </row>
    <row r="314" spans="2:9" ht="33" x14ac:dyDescent="0.25">
      <c r="B314" s="167"/>
      <c r="C314" s="410"/>
      <c r="D314" s="410"/>
      <c r="E314" s="410"/>
      <c r="F314" s="410"/>
      <c r="G314" s="410"/>
      <c r="H314" s="410"/>
      <c r="I314" s="410"/>
    </row>
    <row r="315" spans="2:9" ht="33" x14ac:dyDescent="0.25">
      <c r="B315" s="167"/>
      <c r="C315" s="410"/>
      <c r="D315" s="410"/>
      <c r="E315" s="410"/>
      <c r="F315" s="410"/>
      <c r="G315" s="410"/>
      <c r="H315" s="410"/>
      <c r="I315" s="410"/>
    </row>
    <row r="316" spans="2:9" ht="33" x14ac:dyDescent="0.25">
      <c r="B316" s="167"/>
      <c r="C316" s="410"/>
      <c r="D316" s="410"/>
      <c r="E316" s="410"/>
      <c r="F316" s="410"/>
      <c r="G316" s="410"/>
      <c r="H316" s="410"/>
      <c r="I316" s="410"/>
    </row>
    <row r="317" spans="2:9" ht="33" x14ac:dyDescent="0.25">
      <c r="B317" s="167"/>
      <c r="C317" s="410"/>
      <c r="D317" s="410"/>
      <c r="E317" s="410"/>
      <c r="F317" s="410"/>
      <c r="G317" s="410"/>
      <c r="H317" s="410"/>
      <c r="I317" s="410"/>
    </row>
    <row r="318" spans="2:9" ht="33" x14ac:dyDescent="0.25">
      <c r="B318" s="167"/>
      <c r="C318" s="410"/>
      <c r="D318" s="410"/>
      <c r="E318" s="410"/>
      <c r="F318" s="410"/>
      <c r="G318" s="410"/>
      <c r="H318" s="410"/>
      <c r="I318" s="410"/>
    </row>
    <row r="319" spans="2:9" ht="33" x14ac:dyDescent="0.25">
      <c r="B319" s="167"/>
      <c r="C319" s="410"/>
      <c r="D319" s="410"/>
      <c r="E319" s="410"/>
      <c r="F319" s="410"/>
      <c r="G319" s="410"/>
      <c r="H319" s="410"/>
      <c r="I319" s="410"/>
    </row>
    <row r="320" spans="2:9" ht="33" x14ac:dyDescent="0.25">
      <c r="B320" s="167"/>
      <c r="C320" s="410"/>
      <c r="D320" s="410"/>
      <c r="E320" s="410"/>
      <c r="F320" s="410"/>
      <c r="G320" s="410"/>
      <c r="H320" s="410"/>
      <c r="I320" s="410"/>
    </row>
    <row r="321" spans="2:9" ht="33" x14ac:dyDescent="0.25">
      <c r="B321" s="167"/>
      <c r="C321" s="410"/>
      <c r="D321" s="410"/>
      <c r="E321" s="410"/>
      <c r="F321" s="410"/>
      <c r="G321" s="410"/>
      <c r="H321" s="410"/>
      <c r="I321" s="410"/>
    </row>
    <row r="322" spans="2:9" ht="33" x14ac:dyDescent="0.25">
      <c r="B322" s="167"/>
      <c r="C322" s="410"/>
      <c r="D322" s="410"/>
      <c r="E322" s="410"/>
      <c r="F322" s="410"/>
      <c r="G322" s="410"/>
      <c r="H322" s="410"/>
      <c r="I322" s="410"/>
    </row>
    <row r="323" spans="2:9" ht="33" x14ac:dyDescent="0.25">
      <c r="B323" s="167"/>
      <c r="C323" s="410"/>
      <c r="D323" s="410"/>
      <c r="E323" s="410"/>
      <c r="F323" s="410"/>
      <c r="G323" s="410"/>
      <c r="H323" s="410"/>
      <c r="I323" s="410"/>
    </row>
    <row r="324" spans="2:9" ht="33" x14ac:dyDescent="0.25">
      <c r="B324" s="167"/>
      <c r="C324" s="410"/>
      <c r="D324" s="410"/>
      <c r="E324" s="410"/>
      <c r="F324" s="410"/>
      <c r="G324" s="410"/>
      <c r="H324" s="410"/>
      <c r="I324" s="410"/>
    </row>
    <row r="325" spans="2:9" ht="33" x14ac:dyDescent="0.25">
      <c r="B325" s="167"/>
      <c r="C325" s="410"/>
      <c r="D325" s="410"/>
      <c r="E325" s="410"/>
      <c r="F325" s="410"/>
      <c r="G325" s="410"/>
      <c r="H325" s="410"/>
      <c r="I325" s="410"/>
    </row>
    <row r="326" spans="2:9" ht="33" x14ac:dyDescent="0.25">
      <c r="B326" s="167"/>
      <c r="C326" s="410"/>
      <c r="D326" s="410"/>
      <c r="E326" s="410"/>
      <c r="F326" s="410"/>
      <c r="G326" s="410"/>
      <c r="H326" s="410"/>
      <c r="I326" s="410"/>
    </row>
    <row r="327" spans="2:9" ht="33" x14ac:dyDescent="0.25">
      <c r="B327" s="167"/>
      <c r="C327" s="410"/>
      <c r="D327" s="410"/>
      <c r="E327" s="410"/>
      <c r="F327" s="410"/>
      <c r="G327" s="410"/>
      <c r="H327" s="410"/>
      <c r="I327" s="410"/>
    </row>
    <row r="328" spans="2:9" ht="33" x14ac:dyDescent="0.25">
      <c r="B328" s="167"/>
      <c r="C328" s="410"/>
      <c r="D328" s="410"/>
      <c r="E328" s="410"/>
      <c r="F328" s="410"/>
      <c r="G328" s="410"/>
      <c r="H328" s="410"/>
      <c r="I328" s="410"/>
    </row>
    <row r="329" spans="2:9" ht="33" x14ac:dyDescent="0.25">
      <c r="B329" s="167"/>
      <c r="C329" s="410"/>
      <c r="D329" s="410"/>
      <c r="E329" s="410"/>
      <c r="F329" s="410"/>
      <c r="G329" s="410"/>
      <c r="H329" s="410"/>
      <c r="I329" s="410"/>
    </row>
    <row r="330" spans="2:9" ht="33" x14ac:dyDescent="0.25">
      <c r="B330" s="167"/>
      <c r="C330" s="410"/>
      <c r="D330" s="410"/>
      <c r="E330" s="410"/>
      <c r="F330" s="410"/>
      <c r="G330" s="410"/>
      <c r="H330" s="410"/>
      <c r="I330" s="410"/>
    </row>
    <row r="331" spans="2:9" ht="33" x14ac:dyDescent="0.25">
      <c r="B331" s="167"/>
      <c r="C331" s="410"/>
      <c r="D331" s="410"/>
      <c r="E331" s="410"/>
      <c r="F331" s="410"/>
      <c r="G331" s="410"/>
      <c r="H331" s="410"/>
      <c r="I331" s="410"/>
    </row>
    <row r="332" spans="2:9" ht="33" x14ac:dyDescent="0.25">
      <c r="B332" s="167"/>
      <c r="C332" s="410"/>
      <c r="D332" s="410"/>
      <c r="E332" s="410"/>
      <c r="F332" s="410"/>
      <c r="G332" s="410"/>
      <c r="H332" s="410"/>
      <c r="I332" s="410"/>
    </row>
    <row r="333" spans="2:9" ht="33" x14ac:dyDescent="0.25">
      <c r="B333" s="167"/>
      <c r="C333" s="410"/>
      <c r="D333" s="410"/>
      <c r="E333" s="410"/>
      <c r="F333" s="410"/>
      <c r="G333" s="410"/>
      <c r="H333" s="410"/>
      <c r="I333" s="410"/>
    </row>
    <row r="334" spans="2:9" ht="33" x14ac:dyDescent="0.25">
      <c r="B334" s="167"/>
      <c r="C334" s="410"/>
      <c r="D334" s="410"/>
      <c r="E334" s="410"/>
      <c r="F334" s="410"/>
      <c r="G334" s="410"/>
      <c r="H334" s="410"/>
      <c r="I334" s="410"/>
    </row>
    <row r="335" spans="2:9" ht="33" x14ac:dyDescent="0.25">
      <c r="B335" s="167"/>
      <c r="C335" s="410"/>
      <c r="D335" s="410"/>
      <c r="E335" s="410"/>
      <c r="F335" s="410"/>
      <c r="G335" s="410"/>
      <c r="H335" s="410"/>
      <c r="I335" s="410"/>
    </row>
    <row r="336" spans="2:9" ht="33" x14ac:dyDescent="0.25">
      <c r="B336" s="167"/>
      <c r="C336" s="410"/>
      <c r="D336" s="410"/>
      <c r="E336" s="410"/>
      <c r="F336" s="410"/>
      <c r="G336" s="410"/>
      <c r="H336" s="410"/>
      <c r="I336" s="410"/>
    </row>
    <row r="337" spans="2:9" ht="33" x14ac:dyDescent="0.25">
      <c r="B337" s="167"/>
      <c r="C337" s="410"/>
      <c r="D337" s="410"/>
      <c r="E337" s="410"/>
      <c r="F337" s="410"/>
      <c r="G337" s="410"/>
      <c r="H337" s="410"/>
      <c r="I337" s="410"/>
    </row>
    <row r="338" spans="2:9" ht="33" x14ac:dyDescent="0.25">
      <c r="B338" s="167"/>
      <c r="C338" s="410"/>
      <c r="D338" s="410"/>
      <c r="E338" s="410"/>
      <c r="F338" s="410"/>
      <c r="G338" s="410"/>
      <c r="H338" s="410"/>
      <c r="I338" s="410"/>
    </row>
    <row r="339" spans="2:9" ht="33" x14ac:dyDescent="0.25">
      <c r="B339" s="167"/>
      <c r="C339" s="410"/>
      <c r="D339" s="410"/>
      <c r="E339" s="410"/>
      <c r="F339" s="410"/>
      <c r="G339" s="410"/>
      <c r="H339" s="410"/>
      <c r="I339" s="410"/>
    </row>
    <row r="340" spans="2:9" ht="33" x14ac:dyDescent="0.25">
      <c r="B340" s="167"/>
      <c r="C340" s="410"/>
      <c r="D340" s="410"/>
      <c r="E340" s="410"/>
      <c r="F340" s="410"/>
      <c r="G340" s="410"/>
      <c r="H340" s="410"/>
      <c r="I340" s="410"/>
    </row>
    <row r="341" spans="2:9" ht="33" x14ac:dyDescent="0.25">
      <c r="B341" s="167"/>
      <c r="C341" s="410"/>
      <c r="D341" s="410"/>
      <c r="E341" s="410"/>
      <c r="F341" s="410"/>
      <c r="G341" s="410"/>
      <c r="H341" s="410"/>
      <c r="I341" s="410"/>
    </row>
    <row r="342" spans="2:9" ht="33" x14ac:dyDescent="0.25">
      <c r="B342" s="167"/>
      <c r="C342" s="410"/>
      <c r="D342" s="410"/>
      <c r="E342" s="410"/>
      <c r="F342" s="410"/>
      <c r="G342" s="410"/>
      <c r="H342" s="410"/>
      <c r="I342" s="410"/>
    </row>
    <row r="343" spans="2:9" ht="33" x14ac:dyDescent="0.25">
      <c r="B343" s="167"/>
      <c r="C343" s="410"/>
      <c r="D343" s="410"/>
      <c r="E343" s="410"/>
      <c r="F343" s="410"/>
      <c r="G343" s="410"/>
      <c r="H343" s="410"/>
      <c r="I343" s="410"/>
    </row>
    <row r="344" spans="2:9" ht="33" x14ac:dyDescent="0.25">
      <c r="B344" s="167"/>
      <c r="C344" s="410"/>
      <c r="D344" s="410"/>
      <c r="E344" s="410"/>
      <c r="F344" s="410"/>
      <c r="G344" s="410"/>
      <c r="H344" s="410"/>
      <c r="I344" s="410"/>
    </row>
    <row r="345" spans="2:9" ht="33" x14ac:dyDescent="0.25">
      <c r="B345" s="167"/>
      <c r="C345" s="410"/>
      <c r="D345" s="410"/>
      <c r="E345" s="410"/>
      <c r="F345" s="410"/>
      <c r="G345" s="410"/>
      <c r="H345" s="410"/>
      <c r="I345" s="410"/>
    </row>
    <row r="346" spans="2:9" ht="33" x14ac:dyDescent="0.25">
      <c r="B346" s="167"/>
      <c r="C346" s="410"/>
      <c r="D346" s="410"/>
      <c r="E346" s="410"/>
      <c r="F346" s="410"/>
      <c r="G346" s="410"/>
      <c r="H346" s="410"/>
      <c r="I346" s="410"/>
    </row>
    <row r="347" spans="2:9" ht="33" x14ac:dyDescent="0.25">
      <c r="B347" s="167"/>
      <c r="C347" s="410"/>
      <c r="D347" s="410"/>
      <c r="E347" s="410"/>
      <c r="F347" s="410"/>
      <c r="G347" s="410"/>
      <c r="H347" s="410"/>
      <c r="I347" s="410"/>
    </row>
    <row r="348" spans="2:9" ht="33" x14ac:dyDescent="0.25">
      <c r="B348" s="167"/>
      <c r="C348" s="410"/>
      <c r="D348" s="410"/>
      <c r="E348" s="410"/>
      <c r="F348" s="410"/>
      <c r="G348" s="410"/>
      <c r="H348" s="410"/>
      <c r="I348" s="410"/>
    </row>
    <row r="349" spans="2:9" ht="33" x14ac:dyDescent="0.25">
      <c r="B349" s="167"/>
      <c r="C349" s="410"/>
      <c r="D349" s="410"/>
      <c r="E349" s="410"/>
      <c r="F349" s="410"/>
      <c r="G349" s="410"/>
      <c r="H349" s="410"/>
      <c r="I349" s="410"/>
    </row>
    <row r="350" spans="2:9" ht="33" x14ac:dyDescent="0.25">
      <c r="B350" s="167"/>
      <c r="C350" s="410"/>
      <c r="D350" s="410"/>
      <c r="E350" s="410"/>
      <c r="F350" s="410"/>
      <c r="G350" s="410"/>
      <c r="H350" s="410"/>
      <c r="I350" s="410"/>
    </row>
    <row r="351" spans="2:9" ht="33" x14ac:dyDescent="0.25">
      <c r="B351" s="167"/>
      <c r="C351" s="410"/>
      <c r="D351" s="410"/>
      <c r="E351" s="410"/>
      <c r="F351" s="410"/>
      <c r="G351" s="410"/>
      <c r="H351" s="410"/>
      <c r="I351" s="410"/>
    </row>
    <row r="352" spans="2:9" ht="33" x14ac:dyDescent="0.25">
      <c r="B352" s="167"/>
      <c r="C352" s="410"/>
      <c r="D352" s="410"/>
      <c r="E352" s="410"/>
      <c r="F352" s="410"/>
      <c r="G352" s="410"/>
      <c r="H352" s="410"/>
      <c r="I352" s="410"/>
    </row>
    <row r="353" spans="2:9" ht="33" x14ac:dyDescent="0.25">
      <c r="B353" s="167"/>
      <c r="C353" s="410"/>
      <c r="D353" s="410"/>
      <c r="E353" s="410"/>
      <c r="F353" s="410"/>
      <c r="G353" s="410"/>
      <c r="H353" s="410"/>
      <c r="I353" s="410"/>
    </row>
    <row r="354" spans="2:9" ht="33" x14ac:dyDescent="0.25">
      <c r="B354" s="167"/>
      <c r="C354" s="410"/>
      <c r="D354" s="410"/>
      <c r="E354" s="410"/>
      <c r="F354" s="410"/>
      <c r="G354" s="410"/>
      <c r="H354" s="410"/>
      <c r="I354" s="410"/>
    </row>
    <row r="355" spans="2:9" ht="33" x14ac:dyDescent="0.25">
      <c r="B355" s="167"/>
      <c r="C355" s="410"/>
      <c r="D355" s="410"/>
      <c r="E355" s="410"/>
      <c r="F355" s="410"/>
      <c r="G355" s="410"/>
      <c r="H355" s="410"/>
      <c r="I355" s="410"/>
    </row>
    <row r="356" spans="2:9" ht="33" x14ac:dyDescent="0.25">
      <c r="B356" s="167"/>
      <c r="C356" s="410"/>
      <c r="D356" s="410"/>
      <c r="E356" s="410"/>
      <c r="F356" s="410"/>
      <c r="G356" s="410"/>
      <c r="H356" s="410"/>
      <c r="I356" s="410"/>
    </row>
    <row r="357" spans="2:9" ht="33" x14ac:dyDescent="0.25">
      <c r="B357" s="167"/>
      <c r="C357" s="410"/>
      <c r="D357" s="410"/>
      <c r="E357" s="410"/>
      <c r="F357" s="410"/>
      <c r="G357" s="410"/>
      <c r="H357" s="410"/>
      <c r="I357" s="410"/>
    </row>
    <row r="358" spans="2:9" ht="33" x14ac:dyDescent="0.25">
      <c r="B358" s="167"/>
      <c r="C358" s="410"/>
      <c r="D358" s="410"/>
      <c r="E358" s="410"/>
      <c r="F358" s="410"/>
      <c r="G358" s="410"/>
      <c r="H358" s="410"/>
      <c r="I358" s="410"/>
    </row>
    <row r="359" spans="2:9" ht="33" x14ac:dyDescent="0.25">
      <c r="B359" s="167"/>
      <c r="C359" s="410"/>
      <c r="D359" s="410"/>
      <c r="E359" s="410"/>
      <c r="F359" s="410"/>
      <c r="G359" s="410"/>
      <c r="H359" s="410"/>
      <c r="I359" s="410"/>
    </row>
    <row r="360" spans="2:9" ht="33" x14ac:dyDescent="0.25">
      <c r="B360" s="167"/>
      <c r="C360" s="410"/>
      <c r="D360" s="410"/>
      <c r="E360" s="410"/>
      <c r="F360" s="410"/>
      <c r="G360" s="410"/>
      <c r="H360" s="410"/>
      <c r="I360" s="410"/>
    </row>
    <row r="361" spans="2:9" ht="33" x14ac:dyDescent="0.25">
      <c r="B361" s="167"/>
      <c r="C361" s="410"/>
      <c r="D361" s="410"/>
      <c r="E361" s="410"/>
      <c r="F361" s="410"/>
      <c r="G361" s="410"/>
      <c r="H361" s="410"/>
      <c r="I361" s="410"/>
    </row>
    <row r="362" spans="2:9" ht="33" x14ac:dyDescent="0.25">
      <c r="B362" s="167"/>
      <c r="C362" s="410"/>
      <c r="D362" s="410"/>
      <c r="E362" s="410"/>
      <c r="F362" s="410"/>
      <c r="G362" s="410"/>
      <c r="H362" s="410"/>
      <c r="I362" s="410"/>
    </row>
    <row r="363" spans="2:9" ht="33" x14ac:dyDescent="0.25">
      <c r="B363" s="167"/>
      <c r="C363" s="410"/>
      <c r="D363" s="410"/>
      <c r="E363" s="410"/>
      <c r="F363" s="410"/>
      <c r="G363" s="410"/>
      <c r="H363" s="410"/>
      <c r="I363" s="410"/>
    </row>
    <row r="364" spans="2:9" ht="33" x14ac:dyDescent="0.25">
      <c r="B364" s="167"/>
      <c r="C364" s="410"/>
      <c r="D364" s="410"/>
      <c r="E364" s="410"/>
      <c r="F364" s="410"/>
      <c r="G364" s="410"/>
      <c r="H364" s="410"/>
      <c r="I364" s="410"/>
    </row>
    <row r="365" spans="2:9" ht="33" x14ac:dyDescent="0.25">
      <c r="B365" s="167"/>
      <c r="C365" s="410"/>
      <c r="D365" s="410"/>
      <c r="E365" s="410"/>
      <c r="F365" s="410"/>
      <c r="G365" s="410"/>
      <c r="H365" s="410"/>
      <c r="I365" s="410"/>
    </row>
    <row r="366" spans="2:9" ht="33" x14ac:dyDescent="0.25">
      <c r="B366" s="167"/>
      <c r="C366" s="410"/>
      <c r="D366" s="410"/>
      <c r="E366" s="410"/>
      <c r="F366" s="410"/>
      <c r="G366" s="410"/>
      <c r="H366" s="410"/>
      <c r="I366" s="410"/>
    </row>
    <row r="367" spans="2:9" ht="33" x14ac:dyDescent="0.25">
      <c r="B367" s="167"/>
      <c r="C367" s="410"/>
      <c r="D367" s="410"/>
      <c r="E367" s="410"/>
      <c r="F367" s="410"/>
      <c r="G367" s="410"/>
      <c r="H367" s="410"/>
      <c r="I367" s="410"/>
    </row>
    <row r="368" spans="2:9" ht="33" x14ac:dyDescent="0.25">
      <c r="B368" s="167"/>
      <c r="C368" s="410"/>
      <c r="D368" s="410"/>
      <c r="E368" s="410"/>
      <c r="F368" s="410"/>
      <c r="G368" s="410"/>
      <c r="H368" s="410"/>
      <c r="I368" s="410"/>
    </row>
    <row r="369" spans="2:9" ht="33" x14ac:dyDescent="0.25">
      <c r="B369" s="167"/>
      <c r="C369" s="410"/>
      <c r="D369" s="410"/>
      <c r="E369" s="410"/>
      <c r="F369" s="410"/>
      <c r="G369" s="410"/>
      <c r="H369" s="410"/>
      <c r="I369" s="410"/>
    </row>
    <row r="370" spans="2:9" ht="33" x14ac:dyDescent="0.25">
      <c r="B370" s="167"/>
      <c r="C370" s="410"/>
      <c r="D370" s="410"/>
      <c r="E370" s="410"/>
      <c r="F370" s="410"/>
      <c r="G370" s="410"/>
      <c r="H370" s="410"/>
      <c r="I370" s="410"/>
    </row>
    <row r="371" spans="2:9" ht="33" x14ac:dyDescent="0.25">
      <c r="B371" s="167"/>
      <c r="C371" s="410"/>
      <c r="D371" s="410"/>
      <c r="E371" s="410"/>
      <c r="F371" s="410"/>
      <c r="G371" s="410"/>
      <c r="H371" s="410"/>
      <c r="I371" s="410"/>
    </row>
    <row r="372" spans="2:9" ht="33" x14ac:dyDescent="0.25">
      <c r="B372" s="167"/>
      <c r="C372" s="410"/>
      <c r="D372" s="410"/>
      <c r="E372" s="410"/>
      <c r="F372" s="410"/>
      <c r="G372" s="410"/>
      <c r="H372" s="410"/>
      <c r="I372" s="410"/>
    </row>
    <row r="373" spans="2:9" ht="33" x14ac:dyDescent="0.25">
      <c r="B373" s="167"/>
      <c r="C373" s="410"/>
      <c r="D373" s="410"/>
      <c r="E373" s="410"/>
      <c r="F373" s="410"/>
      <c r="G373" s="410"/>
      <c r="H373" s="410"/>
      <c r="I373" s="410"/>
    </row>
    <row r="374" spans="2:9" ht="33" x14ac:dyDescent="0.25">
      <c r="B374" s="167"/>
      <c r="C374" s="410"/>
      <c r="D374" s="410"/>
      <c r="E374" s="410"/>
      <c r="F374" s="410"/>
      <c r="G374" s="410"/>
      <c r="H374" s="410"/>
      <c r="I374" s="410"/>
    </row>
    <row r="375" spans="2:9" ht="33" x14ac:dyDescent="0.25">
      <c r="B375" s="167"/>
      <c r="C375" s="410"/>
      <c r="D375" s="410"/>
      <c r="E375" s="410"/>
      <c r="F375" s="410"/>
      <c r="G375" s="410"/>
      <c r="H375" s="410"/>
      <c r="I375" s="410"/>
    </row>
    <row r="376" spans="2:9" ht="33" x14ac:dyDescent="0.25">
      <c r="B376" s="167"/>
      <c r="C376" s="410"/>
      <c r="D376" s="410"/>
      <c r="E376" s="410"/>
      <c r="F376" s="410"/>
      <c r="G376" s="410"/>
      <c r="H376" s="410"/>
      <c r="I376" s="410"/>
    </row>
    <row r="377" spans="2:9" ht="33" x14ac:dyDescent="0.25">
      <c r="B377" s="167"/>
      <c r="C377" s="410"/>
      <c r="D377" s="410"/>
      <c r="E377" s="410"/>
      <c r="F377" s="410"/>
      <c r="G377" s="410"/>
      <c r="H377" s="410"/>
      <c r="I377" s="410"/>
    </row>
    <row r="378" spans="2:9" ht="33" x14ac:dyDescent="0.25">
      <c r="B378" s="167"/>
      <c r="C378" s="410"/>
      <c r="D378" s="410"/>
      <c r="E378" s="410"/>
      <c r="F378" s="410"/>
      <c r="G378" s="410"/>
      <c r="H378" s="410"/>
      <c r="I378" s="410"/>
    </row>
    <row r="379" spans="2:9" ht="33" x14ac:dyDescent="0.25">
      <c r="B379" s="167"/>
      <c r="C379" s="410"/>
      <c r="D379" s="410"/>
      <c r="E379" s="410"/>
      <c r="F379" s="410"/>
      <c r="G379" s="410"/>
      <c r="H379" s="410"/>
      <c r="I379" s="410"/>
    </row>
    <row r="380" spans="2:9" ht="33" x14ac:dyDescent="0.25">
      <c r="B380" s="167"/>
      <c r="C380" s="410"/>
      <c r="D380" s="410"/>
      <c r="E380" s="410"/>
      <c r="F380" s="410"/>
      <c r="G380" s="410"/>
      <c r="H380" s="410"/>
      <c r="I380" s="410"/>
    </row>
    <row r="381" spans="2:9" ht="33" x14ac:dyDescent="0.25">
      <c r="B381" s="167"/>
      <c r="C381" s="410"/>
      <c r="D381" s="410"/>
      <c r="E381" s="410"/>
      <c r="F381" s="410"/>
      <c r="G381" s="410"/>
      <c r="H381" s="410"/>
      <c r="I381" s="410"/>
    </row>
    <row r="382" spans="2:9" ht="33" x14ac:dyDescent="0.25">
      <c r="B382" s="167"/>
      <c r="C382" s="410"/>
      <c r="D382" s="410"/>
      <c r="E382" s="410"/>
      <c r="F382" s="410"/>
      <c r="G382" s="410"/>
      <c r="H382" s="410"/>
      <c r="I382" s="410"/>
    </row>
    <row r="383" spans="2:9" ht="33" x14ac:dyDescent="0.25">
      <c r="B383" s="167"/>
      <c r="C383" s="410"/>
      <c r="D383" s="410"/>
      <c r="E383" s="410"/>
      <c r="F383" s="410"/>
      <c r="G383" s="410"/>
      <c r="H383" s="410"/>
      <c r="I383" s="410"/>
    </row>
    <row r="384" spans="2:9" ht="33" x14ac:dyDescent="0.25">
      <c r="B384" s="167"/>
      <c r="C384" s="410"/>
      <c r="D384" s="410"/>
      <c r="E384" s="410"/>
      <c r="F384" s="410"/>
      <c r="G384" s="410"/>
      <c r="H384" s="410"/>
      <c r="I384" s="410"/>
    </row>
    <row r="385" spans="2:9" ht="33" x14ac:dyDescent="0.25">
      <c r="B385" s="167"/>
      <c r="C385" s="410"/>
      <c r="D385" s="410"/>
      <c r="E385" s="410"/>
      <c r="F385" s="410"/>
      <c r="G385" s="410"/>
      <c r="H385" s="410"/>
      <c r="I385" s="410"/>
    </row>
    <row r="386" spans="2:9" ht="33" x14ac:dyDescent="0.25">
      <c r="B386" s="167"/>
      <c r="C386" s="410"/>
      <c r="D386" s="410"/>
      <c r="E386" s="410"/>
      <c r="F386" s="410"/>
      <c r="G386" s="410"/>
      <c r="H386" s="410"/>
      <c r="I386" s="410"/>
    </row>
    <row r="387" spans="2:9" ht="33" x14ac:dyDescent="0.25">
      <c r="B387" s="167"/>
      <c r="C387" s="410"/>
      <c r="D387" s="410"/>
      <c r="E387" s="410"/>
      <c r="F387" s="410"/>
      <c r="G387" s="410"/>
      <c r="H387" s="410"/>
      <c r="I387" s="410"/>
    </row>
    <row r="388" spans="2:9" ht="33" x14ac:dyDescent="0.25">
      <c r="B388" s="167"/>
      <c r="C388" s="410"/>
      <c r="D388" s="410"/>
      <c r="E388" s="410"/>
      <c r="F388" s="410"/>
      <c r="G388" s="410"/>
      <c r="H388" s="410"/>
      <c r="I388" s="410"/>
    </row>
    <row r="389" spans="2:9" ht="33" x14ac:dyDescent="0.25">
      <c r="B389" s="167"/>
      <c r="C389" s="410"/>
      <c r="D389" s="410"/>
      <c r="E389" s="410"/>
      <c r="F389" s="410"/>
      <c r="G389" s="410"/>
      <c r="H389" s="410"/>
      <c r="I389" s="410"/>
    </row>
    <row r="390" spans="2:9" ht="33" x14ac:dyDescent="0.25">
      <c r="B390" s="167"/>
      <c r="C390" s="410"/>
      <c r="D390" s="410"/>
      <c r="E390" s="410"/>
      <c r="F390" s="410"/>
      <c r="G390" s="410"/>
      <c r="H390" s="410"/>
      <c r="I390" s="410"/>
    </row>
    <row r="391" spans="2:9" ht="33" x14ac:dyDescent="0.25">
      <c r="B391" s="167"/>
      <c r="C391" s="410"/>
      <c r="D391" s="410"/>
      <c r="E391" s="410"/>
      <c r="F391" s="410"/>
      <c r="G391" s="410"/>
      <c r="H391" s="410"/>
      <c r="I391" s="410"/>
    </row>
    <row r="392" spans="2:9" ht="33" x14ac:dyDescent="0.25">
      <c r="B392" s="167"/>
      <c r="C392" s="410"/>
      <c r="D392" s="410"/>
      <c r="E392" s="410"/>
      <c r="F392" s="410"/>
      <c r="G392" s="410"/>
      <c r="H392" s="410"/>
      <c r="I392" s="410"/>
    </row>
    <row r="393" spans="2:9" ht="33" x14ac:dyDescent="0.25">
      <c r="B393" s="167"/>
      <c r="C393" s="410"/>
      <c r="D393" s="410"/>
      <c r="E393" s="410"/>
      <c r="F393" s="410"/>
      <c r="G393" s="410"/>
      <c r="H393" s="410"/>
      <c r="I393" s="410"/>
    </row>
    <row r="394" spans="2:9" ht="33" x14ac:dyDescent="0.25">
      <c r="B394" s="167"/>
      <c r="C394" s="410"/>
      <c r="D394" s="410"/>
      <c r="E394" s="410"/>
      <c r="F394" s="410"/>
      <c r="G394" s="410"/>
      <c r="H394" s="410"/>
      <c r="I394" s="410"/>
    </row>
    <row r="395" spans="2:9" ht="33" x14ac:dyDescent="0.25">
      <c r="B395" s="167"/>
      <c r="C395" s="410"/>
      <c r="D395" s="410"/>
      <c r="E395" s="410"/>
      <c r="F395" s="410"/>
      <c r="G395" s="410"/>
      <c r="H395" s="410"/>
      <c r="I395" s="410"/>
    </row>
    <row r="396" spans="2:9" ht="33" x14ac:dyDescent="0.25">
      <c r="B396" s="167"/>
      <c r="C396" s="410"/>
      <c r="D396" s="410"/>
      <c r="E396" s="410"/>
      <c r="F396" s="410"/>
      <c r="G396" s="410"/>
      <c r="H396" s="410"/>
      <c r="I396" s="410"/>
    </row>
    <row r="397" spans="2:9" ht="33" x14ac:dyDescent="0.25">
      <c r="B397" s="167"/>
      <c r="C397" s="410"/>
      <c r="D397" s="410"/>
      <c r="E397" s="410"/>
      <c r="F397" s="410"/>
      <c r="G397" s="410"/>
      <c r="H397" s="410"/>
      <c r="I397" s="410"/>
    </row>
    <row r="398" spans="2:9" ht="33" x14ac:dyDescent="0.25">
      <c r="B398" s="167"/>
      <c r="C398" s="410"/>
      <c r="D398" s="410"/>
      <c r="E398" s="410"/>
      <c r="F398" s="410"/>
      <c r="G398" s="410"/>
      <c r="H398" s="410"/>
      <c r="I398" s="410"/>
    </row>
    <row r="399" spans="2:9" ht="33" x14ac:dyDescent="0.25">
      <c r="B399" s="167"/>
      <c r="C399" s="410"/>
      <c r="D399" s="410"/>
      <c r="E399" s="410"/>
      <c r="F399" s="410"/>
      <c r="G399" s="410"/>
      <c r="H399" s="410"/>
      <c r="I399" s="410"/>
    </row>
    <row r="400" spans="2:9" ht="33" x14ac:dyDescent="0.25">
      <c r="B400" s="167"/>
      <c r="C400" s="410"/>
      <c r="D400" s="410"/>
      <c r="E400" s="410"/>
      <c r="F400" s="410"/>
      <c r="G400" s="410"/>
      <c r="H400" s="410"/>
      <c r="I400" s="410"/>
    </row>
    <row r="401" spans="2:9" ht="33" x14ac:dyDescent="0.25">
      <c r="B401" s="167"/>
      <c r="C401" s="410"/>
      <c r="D401" s="410"/>
      <c r="E401" s="410"/>
      <c r="F401" s="410"/>
      <c r="G401" s="410"/>
      <c r="H401" s="410"/>
      <c r="I401" s="410"/>
    </row>
    <row r="402" spans="2:9" ht="33" x14ac:dyDescent="0.25">
      <c r="B402" s="167"/>
      <c r="C402" s="410"/>
      <c r="D402" s="410"/>
      <c r="E402" s="410"/>
      <c r="F402" s="410"/>
      <c r="G402" s="410"/>
      <c r="H402" s="410"/>
      <c r="I402" s="410"/>
    </row>
    <row r="403" spans="2:9" ht="33" x14ac:dyDescent="0.25">
      <c r="B403" s="167"/>
      <c r="C403" s="410"/>
      <c r="D403" s="410"/>
      <c r="E403" s="410"/>
      <c r="F403" s="410"/>
      <c r="G403" s="410"/>
      <c r="H403" s="410"/>
      <c r="I403" s="410"/>
    </row>
    <row r="404" spans="2:9" ht="33" x14ac:dyDescent="0.25">
      <c r="B404" s="167"/>
      <c r="C404" s="410"/>
      <c r="D404" s="410"/>
      <c r="E404" s="410"/>
      <c r="F404" s="410"/>
      <c r="G404" s="410"/>
      <c r="H404" s="410"/>
      <c r="I404" s="410"/>
    </row>
    <row r="405" spans="2:9" ht="33" x14ac:dyDescent="0.25">
      <c r="B405" s="167"/>
      <c r="C405" s="410"/>
      <c r="D405" s="410"/>
      <c r="E405" s="410"/>
      <c r="F405" s="410"/>
      <c r="G405" s="410"/>
      <c r="H405" s="410"/>
      <c r="I405" s="410"/>
    </row>
    <row r="406" spans="2:9" ht="33" x14ac:dyDescent="0.25">
      <c r="B406" s="167"/>
      <c r="C406" s="410"/>
      <c r="D406" s="410"/>
      <c r="E406" s="410"/>
      <c r="F406" s="410"/>
      <c r="G406" s="410"/>
      <c r="H406" s="410"/>
      <c r="I406" s="410"/>
    </row>
    <row r="407" spans="2:9" ht="33" x14ac:dyDescent="0.25">
      <c r="B407" s="167"/>
      <c r="C407" s="410"/>
      <c r="D407" s="410"/>
      <c r="E407" s="410"/>
      <c r="F407" s="410"/>
      <c r="G407" s="410"/>
      <c r="H407" s="410"/>
      <c r="I407" s="410"/>
    </row>
    <row r="408" spans="2:9" ht="33" x14ac:dyDescent="0.25">
      <c r="B408" s="167"/>
      <c r="C408" s="410"/>
      <c r="D408" s="410"/>
      <c r="E408" s="410"/>
      <c r="F408" s="410"/>
      <c r="G408" s="410"/>
      <c r="H408" s="410"/>
      <c r="I408" s="410"/>
    </row>
    <row r="409" spans="2:9" ht="33" x14ac:dyDescent="0.25">
      <c r="B409" s="167"/>
      <c r="C409" s="410"/>
      <c r="D409" s="410"/>
      <c r="E409" s="410"/>
      <c r="F409" s="410"/>
      <c r="G409" s="410"/>
      <c r="H409" s="410"/>
      <c r="I409" s="410"/>
    </row>
    <row r="410" spans="2:9" ht="33" x14ac:dyDescent="0.25">
      <c r="B410" s="167"/>
      <c r="C410" s="410"/>
      <c r="D410" s="410"/>
      <c r="E410" s="410"/>
      <c r="F410" s="410"/>
      <c r="G410" s="410"/>
      <c r="H410" s="410"/>
      <c r="I410" s="410"/>
    </row>
    <row r="411" spans="2:9" ht="33" x14ac:dyDescent="0.25">
      <c r="B411" s="167"/>
      <c r="C411" s="410"/>
      <c r="D411" s="410"/>
      <c r="E411" s="410"/>
      <c r="F411" s="410"/>
      <c r="G411" s="410"/>
      <c r="H411" s="410"/>
      <c r="I411" s="410"/>
    </row>
    <row r="412" spans="2:9" ht="33" x14ac:dyDescent="0.25">
      <c r="B412" s="167"/>
      <c r="C412" s="410"/>
      <c r="D412" s="410"/>
      <c r="E412" s="410"/>
      <c r="F412" s="410"/>
      <c r="G412" s="410"/>
      <c r="H412" s="410"/>
      <c r="I412" s="410"/>
    </row>
    <row r="413" spans="2:9" ht="33" x14ac:dyDescent="0.25">
      <c r="B413" s="167"/>
      <c r="C413" s="410"/>
      <c r="D413" s="410"/>
      <c r="E413" s="410"/>
      <c r="F413" s="410"/>
      <c r="G413" s="410"/>
      <c r="H413" s="410"/>
      <c r="I413" s="410"/>
    </row>
    <row r="414" spans="2:9" ht="33" x14ac:dyDescent="0.25">
      <c r="B414" s="167"/>
      <c r="C414" s="410"/>
      <c r="D414" s="410"/>
      <c r="E414" s="410"/>
      <c r="F414" s="410"/>
      <c r="G414" s="410"/>
      <c r="H414" s="410"/>
      <c r="I414" s="410"/>
    </row>
    <row r="415" spans="2:9" ht="33" x14ac:dyDescent="0.25">
      <c r="B415" s="167"/>
      <c r="C415" s="410"/>
      <c r="D415" s="410"/>
      <c r="E415" s="410"/>
      <c r="F415" s="410"/>
      <c r="G415" s="410"/>
      <c r="H415" s="410"/>
      <c r="I415" s="410"/>
    </row>
    <row r="416" spans="2:9" ht="33" x14ac:dyDescent="0.25">
      <c r="B416" s="167"/>
      <c r="C416" s="410"/>
      <c r="D416" s="410"/>
      <c r="E416" s="410"/>
      <c r="F416" s="410"/>
      <c r="G416" s="410"/>
      <c r="H416" s="410"/>
      <c r="I416" s="410"/>
    </row>
    <row r="417" spans="2:9" ht="33" x14ac:dyDescent="0.25">
      <c r="B417" s="167"/>
      <c r="C417" s="410"/>
      <c r="D417" s="410"/>
      <c r="E417" s="410"/>
      <c r="F417" s="410"/>
      <c r="G417" s="410"/>
      <c r="H417" s="410"/>
      <c r="I417" s="410"/>
    </row>
    <row r="418" spans="2:9" ht="33" x14ac:dyDescent="0.25">
      <c r="B418" s="167"/>
      <c r="C418" s="410"/>
      <c r="D418" s="410"/>
      <c r="E418" s="410"/>
      <c r="F418" s="410"/>
      <c r="G418" s="410"/>
      <c r="H418" s="410"/>
      <c r="I418" s="410"/>
    </row>
    <row r="419" spans="2:9" ht="33" x14ac:dyDescent="0.25">
      <c r="B419" s="167"/>
      <c r="C419" s="410"/>
      <c r="D419" s="410"/>
      <c r="E419" s="410"/>
      <c r="F419" s="410"/>
      <c r="G419" s="410"/>
      <c r="H419" s="410"/>
      <c r="I419" s="410"/>
    </row>
    <row r="420" spans="2:9" ht="33" x14ac:dyDescent="0.25">
      <c r="B420" s="167"/>
      <c r="C420" s="410"/>
      <c r="D420" s="410"/>
      <c r="E420" s="410"/>
      <c r="F420" s="410"/>
      <c r="G420" s="410"/>
      <c r="H420" s="410"/>
      <c r="I420" s="410"/>
    </row>
    <row r="421" spans="2:9" ht="33" x14ac:dyDescent="0.25">
      <c r="B421" s="167"/>
      <c r="C421" s="410"/>
      <c r="D421" s="410"/>
      <c r="E421" s="410"/>
      <c r="F421" s="410"/>
      <c r="G421" s="410"/>
      <c r="H421" s="410"/>
      <c r="I421" s="410"/>
    </row>
    <row r="422" spans="2:9" ht="33" x14ac:dyDescent="0.25">
      <c r="B422" s="167"/>
      <c r="C422" s="410"/>
      <c r="D422" s="410"/>
      <c r="E422" s="410"/>
      <c r="F422" s="410"/>
      <c r="G422" s="410"/>
      <c r="H422" s="410"/>
      <c r="I422" s="410"/>
    </row>
    <row r="423" spans="2:9" ht="33" x14ac:dyDescent="0.25">
      <c r="B423" s="167"/>
      <c r="C423" s="410"/>
      <c r="D423" s="410"/>
      <c r="E423" s="410"/>
      <c r="F423" s="410"/>
      <c r="G423" s="410"/>
      <c r="H423" s="410"/>
      <c r="I423" s="410"/>
    </row>
    <row r="424" spans="2:9" ht="33" x14ac:dyDescent="0.25">
      <c r="B424" s="167"/>
      <c r="C424" s="410"/>
      <c r="D424" s="410"/>
      <c r="E424" s="410"/>
      <c r="F424" s="410"/>
      <c r="G424" s="410"/>
      <c r="H424" s="410"/>
      <c r="I424" s="410"/>
    </row>
    <row r="425" spans="2:9" ht="33" x14ac:dyDescent="0.25">
      <c r="B425" s="167"/>
      <c r="C425" s="410"/>
      <c r="D425" s="410"/>
      <c r="E425" s="410"/>
      <c r="F425" s="410"/>
      <c r="G425" s="410"/>
      <c r="H425" s="410"/>
      <c r="I425" s="410"/>
    </row>
    <row r="426" spans="2:9" ht="33" x14ac:dyDescent="0.25">
      <c r="B426" s="167"/>
      <c r="C426" s="410"/>
      <c r="D426" s="410"/>
      <c r="E426" s="410"/>
      <c r="F426" s="410"/>
      <c r="G426" s="410"/>
      <c r="H426" s="410"/>
      <c r="I426" s="410"/>
    </row>
    <row r="427" spans="2:9" ht="33" x14ac:dyDescent="0.25">
      <c r="B427" s="167"/>
      <c r="C427" s="410"/>
      <c r="D427" s="410"/>
      <c r="E427" s="410"/>
      <c r="F427" s="410"/>
      <c r="G427" s="410"/>
      <c r="H427" s="410"/>
      <c r="I427" s="410"/>
    </row>
    <row r="428" spans="2:9" ht="33" x14ac:dyDescent="0.25">
      <c r="B428" s="167"/>
      <c r="C428" s="410"/>
      <c r="D428" s="410"/>
      <c r="E428" s="410"/>
      <c r="F428" s="410"/>
      <c r="G428" s="410"/>
      <c r="H428" s="410"/>
      <c r="I428" s="410"/>
    </row>
    <row r="429" spans="2:9" ht="33" x14ac:dyDescent="0.25">
      <c r="B429" s="167"/>
      <c r="C429" s="410"/>
      <c r="D429" s="410"/>
      <c r="E429" s="410"/>
      <c r="F429" s="410"/>
      <c r="G429" s="410"/>
      <c r="H429" s="410"/>
      <c r="I429" s="410"/>
    </row>
  </sheetData>
  <mergeCells count="79">
    <mergeCell ref="B39:B49"/>
    <mergeCell ref="B53:B63"/>
    <mergeCell ref="B1:J1"/>
    <mergeCell ref="D38:E38"/>
    <mergeCell ref="D52:E52"/>
    <mergeCell ref="B8:B19"/>
    <mergeCell ref="D18:D19"/>
    <mergeCell ref="D9:D14"/>
    <mergeCell ref="B50:I50"/>
    <mergeCell ref="D48:D49"/>
    <mergeCell ref="D36:G36"/>
    <mergeCell ref="D22:E22"/>
    <mergeCell ref="B23:B33"/>
    <mergeCell ref="G23:G26"/>
    <mergeCell ref="J54:J57"/>
    <mergeCell ref="D5:F5"/>
    <mergeCell ref="D101:E101"/>
    <mergeCell ref="D99:F99"/>
    <mergeCell ref="B82:I82"/>
    <mergeCell ref="D71:D76"/>
    <mergeCell ref="D77:D79"/>
    <mergeCell ref="D80:D81"/>
    <mergeCell ref="B86:B96"/>
    <mergeCell ref="H86:H89"/>
    <mergeCell ref="D93:D94"/>
    <mergeCell ref="D95:D96"/>
    <mergeCell ref="B97:I97"/>
    <mergeCell ref="E86:E89"/>
    <mergeCell ref="F86:F89"/>
    <mergeCell ref="G86:G89"/>
    <mergeCell ref="I86:I89"/>
    <mergeCell ref="A102:A114"/>
    <mergeCell ref="D112:D113"/>
    <mergeCell ref="B114:I114"/>
    <mergeCell ref="D102:D109"/>
    <mergeCell ref="D110:D111"/>
    <mergeCell ref="J86:J89"/>
    <mergeCell ref="D86:D92"/>
    <mergeCell ref="J23:J26"/>
    <mergeCell ref="D54:D60"/>
    <mergeCell ref="D61:D62"/>
    <mergeCell ref="D63:D64"/>
    <mergeCell ref="B65:I65"/>
    <mergeCell ref="E54:E57"/>
    <mergeCell ref="F54:F57"/>
    <mergeCell ref="G54:G57"/>
    <mergeCell ref="H54:H57"/>
    <mergeCell ref="I54:I57"/>
    <mergeCell ref="D46:D47"/>
    <mergeCell ref="H23:H26"/>
    <mergeCell ref="I23:I26"/>
    <mergeCell ref="D67:F67"/>
    <mergeCell ref="J115:J119"/>
    <mergeCell ref="A115:A128"/>
    <mergeCell ref="D115:D123"/>
    <mergeCell ref="D124:D125"/>
    <mergeCell ref="D126:D127"/>
    <mergeCell ref="B128:I128"/>
    <mergeCell ref="E115:E119"/>
    <mergeCell ref="F115:F119"/>
    <mergeCell ref="G115:G119"/>
    <mergeCell ref="H115:H119"/>
    <mergeCell ref="I115:I119"/>
    <mergeCell ref="M3:N3"/>
    <mergeCell ref="M7:N7"/>
    <mergeCell ref="D3:H3"/>
    <mergeCell ref="D84:E84"/>
    <mergeCell ref="D7:E7"/>
    <mergeCell ref="D15:D17"/>
    <mergeCell ref="D39:D45"/>
    <mergeCell ref="B20:I20"/>
    <mergeCell ref="D23:D29"/>
    <mergeCell ref="D30:D31"/>
    <mergeCell ref="D32:D33"/>
    <mergeCell ref="B34:I34"/>
    <mergeCell ref="E23:E26"/>
    <mergeCell ref="F23:F26"/>
    <mergeCell ref="D69:E69"/>
    <mergeCell ref="B71:B81"/>
  </mergeCells>
  <pageMargins left="0.70866141732283472" right="0.70866141732283472" top="0.74803149606299213" bottom="0.74803149606299213" header="0.31496062992125984" footer="0.31496062992125984"/>
  <pageSetup paperSize="9" scale="53" orientation="landscape" r:id="rId1"/>
  <headerFooter>
    <oddFooter>&amp;CPage &amp;P&amp;Rتحليل اسعار البنود موقع امواج</oddFooter>
  </headerFooter>
  <rowBreaks count="2" manualBreakCount="2">
    <brk id="7" min="1" max="9" man="1"/>
    <brk id="70" min="1" max="9" man="1"/>
  </rowBreaks>
  <ignoredErrors>
    <ignoredError sqref="J34 J97" formula="1"/>
  </ignoredError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79998168889431442"/>
    <pageSetUpPr fitToPage="1"/>
  </sheetPr>
  <dimension ref="B1:M161"/>
  <sheetViews>
    <sheetView rightToLeft="1" zoomScale="50" zoomScaleNormal="50" zoomScaleSheetLayoutView="80" zoomScalePageLayoutView="40" workbookViewId="0">
      <pane xSplit="1" ySplit="2" topLeftCell="B3" activePane="bottomRight" state="frozen"/>
      <selection pane="topRight" activeCell="B1" sqref="B1"/>
      <selection pane="bottomLeft" activeCell="A4" sqref="A4"/>
      <selection pane="bottomRight" activeCell="E9" sqref="E9:J11"/>
    </sheetView>
  </sheetViews>
  <sheetFormatPr defaultColWidth="9" defaultRowHeight="35.1" customHeight="1" x14ac:dyDescent="0.25"/>
  <cols>
    <col min="1" max="1" width="4.28515625" style="185" customWidth="1"/>
    <col min="2" max="2" width="6.28515625" style="188" customWidth="1"/>
    <col min="3" max="3" width="30.7109375" style="450" customWidth="1"/>
    <col min="4" max="4" width="15" style="447" customWidth="1"/>
    <col min="5" max="5" width="36.7109375" style="3" customWidth="1"/>
    <col min="6" max="6" width="13" style="445" customWidth="1"/>
    <col min="7" max="7" width="15.140625" style="445" customWidth="1"/>
    <col min="8" max="8" width="21.28515625" style="445" customWidth="1"/>
    <col min="9" max="9" width="17.5703125" style="445" customWidth="1"/>
    <col min="10" max="10" width="14.5703125" style="446" customWidth="1"/>
    <col min="11" max="11" width="19.28515625" style="185" customWidth="1"/>
    <col min="12" max="12" width="9" style="185"/>
    <col min="13" max="13" width="65.5703125" style="185" customWidth="1"/>
    <col min="14" max="16384" width="9" style="185"/>
  </cols>
  <sheetData>
    <row r="1" spans="2:13" s="157" customFormat="1" ht="33" x14ac:dyDescent="0.25">
      <c r="B1" s="995" t="str">
        <f>'خرسانة مسلحة'!B1:J1</f>
        <v>تحليل اسعار</v>
      </c>
      <c r="C1" s="995"/>
      <c r="D1" s="995"/>
      <c r="E1" s="995"/>
      <c r="F1" s="995"/>
      <c r="G1" s="995"/>
      <c r="H1" s="995"/>
      <c r="I1" s="995"/>
      <c r="J1" s="995"/>
    </row>
    <row r="2" spans="2:13" ht="26.25" x14ac:dyDescent="0.25">
      <c r="B2" s="996" t="s">
        <v>186</v>
      </c>
      <c r="C2" s="996"/>
      <c r="D2" s="996"/>
      <c r="E2" s="996"/>
      <c r="F2" s="996"/>
      <c r="G2" s="996"/>
      <c r="H2" s="996"/>
      <c r="I2" s="996"/>
      <c r="J2" s="996"/>
    </row>
    <row r="3" spans="2:13" ht="29.25" thickBot="1" x14ac:dyDescent="0.3">
      <c r="B3" s="185"/>
      <c r="D3" s="3"/>
      <c r="F3" s="3"/>
      <c r="G3" s="3"/>
      <c r="H3" s="3"/>
      <c r="I3" s="3"/>
      <c r="J3" s="3"/>
    </row>
    <row r="4" spans="2:13" ht="50.25" customHeight="1" thickBot="1" x14ac:dyDescent="0.3">
      <c r="B4" s="185"/>
      <c r="D4" s="3"/>
      <c r="E4" s="1001" t="s">
        <v>524</v>
      </c>
      <c r="F4" s="1001"/>
      <c r="G4" s="1001"/>
      <c r="H4" s="1001"/>
      <c r="I4" s="3"/>
      <c r="J4" s="3"/>
      <c r="K4" s="380" t="s">
        <v>1171</v>
      </c>
    </row>
    <row r="5" spans="2:13" ht="29.25" thickBot="1" x14ac:dyDescent="0.3">
      <c r="B5" s="185"/>
      <c r="D5" s="3"/>
      <c r="F5" s="3"/>
      <c r="G5" s="3"/>
      <c r="H5" s="3"/>
      <c r="I5" s="3"/>
      <c r="J5" s="3"/>
    </row>
    <row r="6" spans="2:13" s="34" customFormat="1" ht="69.75" customHeight="1" x14ac:dyDescent="0.25">
      <c r="B6" s="186" t="s">
        <v>0</v>
      </c>
      <c r="C6" s="451" t="s">
        <v>1</v>
      </c>
      <c r="D6" s="997" t="s">
        <v>2</v>
      </c>
      <c r="E6" s="997"/>
      <c r="F6" s="414" t="s">
        <v>3</v>
      </c>
      <c r="G6" s="414" t="s">
        <v>4</v>
      </c>
      <c r="H6" s="414" t="s">
        <v>5</v>
      </c>
      <c r="I6" s="414" t="s">
        <v>6</v>
      </c>
      <c r="J6" s="415" t="s">
        <v>7</v>
      </c>
      <c r="K6" s="185"/>
      <c r="M6" s="797" t="s">
        <v>1232</v>
      </c>
    </row>
    <row r="7" spans="2:13" ht="38.25" customHeight="1" x14ac:dyDescent="0.25">
      <c r="B7" s="190">
        <v>1</v>
      </c>
      <c r="C7" s="998" t="s">
        <v>195</v>
      </c>
      <c r="D7" s="1003" t="s">
        <v>14</v>
      </c>
      <c r="E7" s="416" t="s">
        <v>18</v>
      </c>
      <c r="F7" s="417" t="s">
        <v>19</v>
      </c>
      <c r="G7" s="418">
        <f>'اسعار الخامات'!E7</f>
        <v>650</v>
      </c>
      <c r="H7" s="419">
        <f>10/1000</f>
        <v>0.01</v>
      </c>
      <c r="I7" s="420">
        <v>0.05</v>
      </c>
      <c r="J7" s="421">
        <f t="shared" ref="J7:J14" si="0">H7*G7+(I7*H7*G7)</f>
        <v>6.8250000000000002</v>
      </c>
      <c r="M7" s="796" t="s">
        <v>945</v>
      </c>
    </row>
    <row r="8" spans="2:13" ht="38.25" customHeight="1" x14ac:dyDescent="0.25">
      <c r="B8" s="190"/>
      <c r="C8" s="999"/>
      <c r="D8" s="1003"/>
      <c r="E8" s="416" t="s">
        <v>15</v>
      </c>
      <c r="F8" s="417" t="s">
        <v>12</v>
      </c>
      <c r="G8" s="417">
        <f>'اسعار الخامات'!E12</f>
        <v>13</v>
      </c>
      <c r="H8" s="419">
        <f>1/33*1.5</f>
        <v>4.5454545454545456E-2</v>
      </c>
      <c r="I8" s="420">
        <v>0.1</v>
      </c>
      <c r="J8" s="421">
        <f t="shared" si="0"/>
        <v>0.65</v>
      </c>
      <c r="M8" s="796" t="s">
        <v>946</v>
      </c>
    </row>
    <row r="9" spans="2:13" ht="54.75" customHeight="1" x14ac:dyDescent="0.25">
      <c r="B9" s="190"/>
      <c r="C9" s="999"/>
      <c r="D9" s="1003"/>
      <c r="E9" s="416" t="s">
        <v>21</v>
      </c>
      <c r="F9" s="417" t="s">
        <v>12</v>
      </c>
      <c r="G9" s="418">
        <f>'اسعار الخامات'!E9</f>
        <v>35</v>
      </c>
      <c r="H9" s="419">
        <f>1/33</f>
        <v>3.0303030303030304E-2</v>
      </c>
      <c r="I9" s="420">
        <v>0.1</v>
      </c>
      <c r="J9" s="421">
        <f t="shared" si="0"/>
        <v>1.1666666666666665</v>
      </c>
      <c r="M9" s="796" t="s">
        <v>947</v>
      </c>
    </row>
    <row r="10" spans="2:13" ht="44.25" customHeight="1" x14ac:dyDescent="0.25">
      <c r="B10" s="190"/>
      <c r="C10" s="999"/>
      <c r="D10" s="416"/>
      <c r="E10" s="422" t="s">
        <v>465</v>
      </c>
      <c r="F10" s="417" t="s">
        <v>45</v>
      </c>
      <c r="G10" s="418">
        <f>'اسعار الخامات'!E86</f>
        <v>8.8000000000000007</v>
      </c>
      <c r="H10" s="423">
        <v>0.11</v>
      </c>
      <c r="I10" s="420">
        <v>0.05</v>
      </c>
      <c r="J10" s="421">
        <f t="shared" si="0"/>
        <v>1.0164000000000002</v>
      </c>
    </row>
    <row r="11" spans="2:13" ht="56.25" customHeight="1" x14ac:dyDescent="0.25">
      <c r="B11" s="190"/>
      <c r="C11" s="999"/>
      <c r="D11" s="1003" t="s">
        <v>11</v>
      </c>
      <c r="E11" s="424" t="s">
        <v>137</v>
      </c>
      <c r="F11" s="417" t="s">
        <v>45</v>
      </c>
      <c r="G11" s="417">
        <f>'اسعار المصنعيات'!D16</f>
        <v>20</v>
      </c>
      <c r="H11" s="417">
        <v>1</v>
      </c>
      <c r="I11" s="417">
        <v>0</v>
      </c>
      <c r="J11" s="421">
        <f t="shared" si="0"/>
        <v>20</v>
      </c>
    </row>
    <row r="12" spans="2:13" ht="32.25" customHeight="1" x14ac:dyDescent="0.25">
      <c r="B12" s="190"/>
      <c r="C12" s="999"/>
      <c r="D12" s="1003"/>
      <c r="E12" s="424" t="s">
        <v>196</v>
      </c>
      <c r="F12" s="417" t="s">
        <v>194</v>
      </c>
      <c r="G12" s="417">
        <v>1</v>
      </c>
      <c r="H12" s="417">
        <v>1</v>
      </c>
      <c r="I12" s="417">
        <v>0</v>
      </c>
      <c r="J12" s="421">
        <f t="shared" si="0"/>
        <v>1</v>
      </c>
    </row>
    <row r="13" spans="2:13" ht="41.25" customHeight="1" x14ac:dyDescent="0.25">
      <c r="B13" s="190"/>
      <c r="C13" s="999"/>
      <c r="D13" s="416" t="s">
        <v>16</v>
      </c>
      <c r="E13" s="424" t="s">
        <v>193</v>
      </c>
      <c r="F13" s="417" t="s">
        <v>194</v>
      </c>
      <c r="G13" s="417">
        <v>0.5</v>
      </c>
      <c r="H13" s="417">
        <v>1</v>
      </c>
      <c r="I13" s="417">
        <v>0</v>
      </c>
      <c r="J13" s="421">
        <f t="shared" si="0"/>
        <v>0.5</v>
      </c>
    </row>
    <row r="14" spans="2:13" ht="32.25" customHeight="1" x14ac:dyDescent="0.25">
      <c r="B14" s="190"/>
      <c r="C14" s="1000"/>
      <c r="D14" s="416"/>
      <c r="E14" s="425" t="s">
        <v>199</v>
      </c>
      <c r="F14" s="417" t="s">
        <v>45</v>
      </c>
      <c r="G14" s="417">
        <v>1</v>
      </c>
      <c r="H14" s="417">
        <v>1</v>
      </c>
      <c r="I14" s="417"/>
      <c r="J14" s="421">
        <f t="shared" si="0"/>
        <v>1</v>
      </c>
    </row>
    <row r="15" spans="2:13" ht="36.75" customHeight="1" x14ac:dyDescent="0.25">
      <c r="B15" s="448"/>
      <c r="C15" s="1008" t="s">
        <v>13</v>
      </c>
      <c r="D15" s="1008"/>
      <c r="E15" s="1008"/>
      <c r="F15" s="1008"/>
      <c r="G15" s="1008"/>
      <c r="H15" s="1008"/>
      <c r="I15" s="1008"/>
      <c r="J15" s="449">
        <f>SUM(J7:J14)</f>
        <v>32.15806666666667</v>
      </c>
      <c r="K15" s="449">
        <f>J15*1.25</f>
        <v>40.197583333333341</v>
      </c>
    </row>
    <row r="16" spans="2:13" ht="28.5" x14ac:dyDescent="0.25">
      <c r="B16" s="185"/>
      <c r="D16" s="3"/>
      <c r="F16" s="3"/>
      <c r="G16" s="3"/>
      <c r="H16" s="3"/>
      <c r="I16" s="3"/>
      <c r="J16" s="3"/>
    </row>
    <row r="17" spans="2:11" s="34" customFormat="1" ht="69.75" customHeight="1" x14ac:dyDescent="0.25">
      <c r="B17" s="186" t="s">
        <v>0</v>
      </c>
      <c r="C17" s="451" t="s">
        <v>1</v>
      </c>
      <c r="D17" s="997" t="s">
        <v>2</v>
      </c>
      <c r="E17" s="997"/>
      <c r="F17" s="414" t="s">
        <v>3</v>
      </c>
      <c r="G17" s="414" t="s">
        <v>4</v>
      </c>
      <c r="H17" s="414" t="s">
        <v>5</v>
      </c>
      <c r="I17" s="414" t="s">
        <v>6</v>
      </c>
      <c r="J17" s="415" t="s">
        <v>7</v>
      </c>
      <c r="K17" s="185"/>
    </row>
    <row r="18" spans="2:11" ht="38.25" customHeight="1" x14ac:dyDescent="0.25">
      <c r="B18" s="191">
        <v>2</v>
      </c>
      <c r="C18" s="1005" t="s">
        <v>202</v>
      </c>
      <c r="D18" s="1009" t="s">
        <v>14</v>
      </c>
      <c r="E18" s="427" t="s">
        <v>18</v>
      </c>
      <c r="F18" s="428" t="s">
        <v>19</v>
      </c>
      <c r="G18" s="429">
        <f>'اسعار الخامات'!E7</f>
        <v>650</v>
      </c>
      <c r="H18" s="419">
        <f>10/1000</f>
        <v>0.01</v>
      </c>
      <c r="I18" s="430">
        <v>0.05</v>
      </c>
      <c r="J18" s="431">
        <f t="shared" ref="J18:J25" si="1">H18*G18+(I18*H18*G18)</f>
        <v>6.8250000000000002</v>
      </c>
    </row>
    <row r="19" spans="2:11" ht="38.25" customHeight="1" x14ac:dyDescent="0.25">
      <c r="B19" s="191"/>
      <c r="C19" s="1006"/>
      <c r="D19" s="1009"/>
      <c r="E19" s="427" t="s">
        <v>15</v>
      </c>
      <c r="F19" s="428" t="s">
        <v>12</v>
      </c>
      <c r="G19" s="428">
        <f>'اسعار الخامات'!E12</f>
        <v>13</v>
      </c>
      <c r="H19" s="428">
        <v>0.04</v>
      </c>
      <c r="I19" s="430">
        <v>0.1</v>
      </c>
      <c r="J19" s="431">
        <f t="shared" si="1"/>
        <v>0.57200000000000006</v>
      </c>
    </row>
    <row r="20" spans="2:11" ht="38.25" customHeight="1" x14ac:dyDescent="0.25">
      <c r="B20" s="191"/>
      <c r="C20" s="1006"/>
      <c r="D20" s="1009"/>
      <c r="E20" s="427" t="s">
        <v>21</v>
      </c>
      <c r="F20" s="428" t="s">
        <v>12</v>
      </c>
      <c r="G20" s="429">
        <f>'اسعار الخامات'!E9</f>
        <v>35</v>
      </c>
      <c r="H20" s="428">
        <v>3.5999999999999997E-2</v>
      </c>
      <c r="I20" s="430">
        <v>0.2</v>
      </c>
      <c r="J20" s="431">
        <f t="shared" si="1"/>
        <v>1.512</v>
      </c>
    </row>
    <row r="21" spans="2:11" ht="51" customHeight="1" x14ac:dyDescent="0.25">
      <c r="B21" s="191"/>
      <c r="C21" s="1006"/>
      <c r="D21" s="1009" t="s">
        <v>11</v>
      </c>
      <c r="E21" s="432" t="s">
        <v>205</v>
      </c>
      <c r="F21" s="428" t="s">
        <v>45</v>
      </c>
      <c r="G21" s="428">
        <f>'اسعار المصنعيات'!D16</f>
        <v>20</v>
      </c>
      <c r="H21" s="428">
        <v>1</v>
      </c>
      <c r="I21" s="428">
        <v>0</v>
      </c>
      <c r="J21" s="431">
        <f t="shared" si="1"/>
        <v>20</v>
      </c>
    </row>
    <row r="22" spans="2:11" ht="38.25" customHeight="1" x14ac:dyDescent="0.25">
      <c r="B22" s="191"/>
      <c r="C22" s="1006"/>
      <c r="D22" s="1009"/>
      <c r="E22" s="432" t="s">
        <v>442</v>
      </c>
      <c r="F22" s="428" t="s">
        <v>45</v>
      </c>
      <c r="G22" s="428">
        <v>3</v>
      </c>
      <c r="H22" s="428">
        <v>1</v>
      </c>
      <c r="I22" s="428">
        <v>0</v>
      </c>
      <c r="J22" s="431">
        <f t="shared" si="1"/>
        <v>3</v>
      </c>
    </row>
    <row r="23" spans="2:11" ht="38.25" customHeight="1" x14ac:dyDescent="0.25">
      <c r="B23" s="191"/>
      <c r="C23" s="1006"/>
      <c r="D23" s="1009"/>
      <c r="E23" s="432" t="s">
        <v>196</v>
      </c>
      <c r="F23" s="428" t="s">
        <v>194</v>
      </c>
      <c r="G23" s="428">
        <v>1</v>
      </c>
      <c r="H23" s="428">
        <v>1</v>
      </c>
      <c r="I23" s="428">
        <v>0</v>
      </c>
      <c r="J23" s="431">
        <f t="shared" si="1"/>
        <v>1</v>
      </c>
    </row>
    <row r="24" spans="2:11" ht="38.25" customHeight="1" x14ac:dyDescent="0.25">
      <c r="B24" s="191"/>
      <c r="C24" s="1006"/>
      <c r="D24" s="427" t="s">
        <v>16</v>
      </c>
      <c r="E24" s="432" t="s">
        <v>193</v>
      </c>
      <c r="F24" s="428" t="s">
        <v>194</v>
      </c>
      <c r="G24" s="428">
        <v>0.5</v>
      </c>
      <c r="H24" s="428">
        <v>1</v>
      </c>
      <c r="I24" s="428">
        <v>0</v>
      </c>
      <c r="J24" s="431">
        <f t="shared" si="1"/>
        <v>0.5</v>
      </c>
    </row>
    <row r="25" spans="2:11" ht="47.25" customHeight="1" x14ac:dyDescent="0.25">
      <c r="B25" s="190"/>
      <c r="C25" s="1007"/>
      <c r="D25" s="416"/>
      <c r="E25" s="433" t="s">
        <v>199</v>
      </c>
      <c r="F25" s="434" t="s">
        <v>45</v>
      </c>
      <c r="G25" s="434">
        <f>'اسعار المصنعيات'!D21</f>
        <v>4</v>
      </c>
      <c r="H25" s="434">
        <v>1</v>
      </c>
      <c r="I25" s="434">
        <v>0</v>
      </c>
      <c r="J25" s="431">
        <f t="shared" si="1"/>
        <v>4</v>
      </c>
    </row>
    <row r="26" spans="2:11" ht="36.75" customHeight="1" x14ac:dyDescent="0.25">
      <c r="B26" s="448"/>
      <c r="C26" s="1008" t="s">
        <v>13</v>
      </c>
      <c r="D26" s="1008"/>
      <c r="E26" s="1008"/>
      <c r="F26" s="1008"/>
      <c r="G26" s="1008"/>
      <c r="H26" s="1008"/>
      <c r="I26" s="1008"/>
      <c r="J26" s="449">
        <f>SUM(J18:J25)</f>
        <v>37.408999999999999</v>
      </c>
      <c r="K26" s="449">
        <f>J26*1.25</f>
        <v>46.761249999999997</v>
      </c>
    </row>
    <row r="27" spans="2:11" ht="29.25" thickBot="1" x14ac:dyDescent="0.3">
      <c r="B27" s="185"/>
      <c r="D27" s="3"/>
      <c r="F27" s="3"/>
      <c r="G27" s="3"/>
      <c r="H27" s="3"/>
      <c r="I27" s="3"/>
      <c r="J27" s="3"/>
    </row>
    <row r="28" spans="2:11" ht="31.5" customHeight="1" thickBot="1" x14ac:dyDescent="0.3">
      <c r="B28" s="185"/>
      <c r="D28" s="3"/>
      <c r="E28" s="1011" t="s">
        <v>523</v>
      </c>
      <c r="F28" s="1012"/>
      <c r="G28" s="1012"/>
      <c r="H28" s="1013"/>
      <c r="I28" s="3"/>
      <c r="J28" s="3"/>
    </row>
    <row r="29" spans="2:11" ht="28.5" x14ac:dyDescent="0.25">
      <c r="B29" s="185"/>
      <c r="D29" s="3"/>
      <c r="F29" s="3"/>
      <c r="G29" s="3"/>
      <c r="H29" s="3"/>
      <c r="I29" s="3"/>
      <c r="J29" s="3"/>
    </row>
    <row r="30" spans="2:11" ht="28.5" x14ac:dyDescent="0.25">
      <c r="B30" s="185"/>
      <c r="D30" s="3"/>
      <c r="F30" s="3"/>
      <c r="G30" s="3"/>
      <c r="H30" s="3"/>
      <c r="I30" s="3"/>
      <c r="J30" s="3"/>
    </row>
    <row r="31" spans="2:11" s="34" customFormat="1" ht="69.75" customHeight="1" x14ac:dyDescent="0.25">
      <c r="B31" s="186" t="s">
        <v>0</v>
      </c>
      <c r="C31" s="451" t="s">
        <v>1</v>
      </c>
      <c r="D31" s="997" t="s">
        <v>2</v>
      </c>
      <c r="E31" s="997"/>
      <c r="F31" s="414" t="s">
        <v>3</v>
      </c>
      <c r="G31" s="414" t="s">
        <v>4</v>
      </c>
      <c r="H31" s="414" t="s">
        <v>5</v>
      </c>
      <c r="I31" s="414" t="s">
        <v>6</v>
      </c>
      <c r="J31" s="415" t="s">
        <v>7</v>
      </c>
      <c r="K31" s="185"/>
    </row>
    <row r="32" spans="2:11" ht="28.5" x14ac:dyDescent="0.25">
      <c r="B32" s="191">
        <v>3</v>
      </c>
      <c r="C32" s="1010" t="s">
        <v>197</v>
      </c>
      <c r="D32" s="1009" t="s">
        <v>14</v>
      </c>
      <c r="E32" s="427" t="s">
        <v>18</v>
      </c>
      <c r="F32" s="428" t="s">
        <v>19</v>
      </c>
      <c r="G32" s="429">
        <f>'اسعار الخامات'!E7</f>
        <v>650</v>
      </c>
      <c r="H32" s="419">
        <f>10/1000</f>
        <v>0.01</v>
      </c>
      <c r="I32" s="430">
        <v>0.05</v>
      </c>
      <c r="J32" s="431">
        <f>H32*G32+(I32*H32*G32)</f>
        <v>6.8250000000000002</v>
      </c>
    </row>
    <row r="33" spans="2:11" ht="28.5" x14ac:dyDescent="0.25">
      <c r="B33" s="191"/>
      <c r="C33" s="1010"/>
      <c r="D33" s="1009"/>
      <c r="E33" s="427" t="s">
        <v>15</v>
      </c>
      <c r="F33" s="428" t="s">
        <v>12</v>
      </c>
      <c r="G33" s="428">
        <f>'اسعار الخامات'!E12</f>
        <v>13</v>
      </c>
      <c r="H33" s="419">
        <f>1/33*1.5</f>
        <v>4.5454545454545456E-2</v>
      </c>
      <c r="I33" s="430">
        <v>0.1</v>
      </c>
      <c r="J33" s="431">
        <f>H33*G33+(I33*H33*G33)</f>
        <v>0.65</v>
      </c>
    </row>
    <row r="34" spans="2:11" ht="28.5" x14ac:dyDescent="0.25">
      <c r="B34" s="191"/>
      <c r="C34" s="1010"/>
      <c r="D34" s="1009"/>
      <c r="E34" s="427" t="s">
        <v>21</v>
      </c>
      <c r="F34" s="428" t="s">
        <v>12</v>
      </c>
      <c r="G34" s="428">
        <f>'اسعار الخامات'!E9</f>
        <v>35</v>
      </c>
      <c r="H34" s="435">
        <f>1/33</f>
        <v>3.0303030303030304E-2</v>
      </c>
      <c r="I34" s="430">
        <v>0.2</v>
      </c>
      <c r="J34" s="431">
        <f>H34*G34+(I34*H34*G34)</f>
        <v>1.2727272727272727</v>
      </c>
    </row>
    <row r="35" spans="2:11" ht="28.5" x14ac:dyDescent="0.25">
      <c r="B35" s="191"/>
      <c r="C35" s="1010"/>
      <c r="D35" s="427"/>
      <c r="E35" s="427" t="s">
        <v>443</v>
      </c>
      <c r="F35" s="428"/>
      <c r="G35" s="428">
        <v>1</v>
      </c>
      <c r="H35" s="435">
        <v>1</v>
      </c>
      <c r="I35" s="430"/>
      <c r="J35" s="431">
        <v>1</v>
      </c>
    </row>
    <row r="36" spans="2:11" ht="59.25" customHeight="1" x14ac:dyDescent="0.25">
      <c r="B36" s="191"/>
      <c r="C36" s="1010"/>
      <c r="D36" s="436"/>
      <c r="E36" s="432" t="s">
        <v>442</v>
      </c>
      <c r="F36" s="428" t="s">
        <v>45</v>
      </c>
      <c r="G36" s="428">
        <v>3</v>
      </c>
      <c r="H36" s="428">
        <v>1</v>
      </c>
      <c r="I36" s="428">
        <v>0</v>
      </c>
      <c r="J36" s="431">
        <f t="shared" ref="J36" si="2">H36*G36+(I36*H36*G36)</f>
        <v>3</v>
      </c>
    </row>
    <row r="37" spans="2:11" ht="28.5" x14ac:dyDescent="0.25">
      <c r="B37" s="191"/>
      <c r="C37" s="1010"/>
      <c r="D37" s="1009" t="s">
        <v>11</v>
      </c>
      <c r="E37" s="427" t="s">
        <v>198</v>
      </c>
      <c r="F37" s="428" t="s">
        <v>45</v>
      </c>
      <c r="G37" s="428">
        <f>'اسعار المصنعيات'!D17</f>
        <v>25</v>
      </c>
      <c r="H37" s="428">
        <v>1</v>
      </c>
      <c r="I37" s="428">
        <v>0</v>
      </c>
      <c r="J37" s="431">
        <f>H37*G37+(I37*H37*G37)</f>
        <v>25</v>
      </c>
    </row>
    <row r="38" spans="2:11" ht="28.5" x14ac:dyDescent="0.25">
      <c r="B38" s="191"/>
      <c r="C38" s="1010"/>
      <c r="D38" s="1009"/>
      <c r="E38" s="427" t="s">
        <v>199</v>
      </c>
      <c r="F38" s="428" t="s">
        <v>45</v>
      </c>
      <c r="G38" s="428">
        <f>'اسعار المصنعيات'!D21</f>
        <v>4</v>
      </c>
      <c r="H38" s="428">
        <v>1</v>
      </c>
      <c r="I38" s="428">
        <v>0</v>
      </c>
      <c r="J38" s="431">
        <f>H38*G38+(I38*H38*G38)</f>
        <v>4</v>
      </c>
    </row>
    <row r="39" spans="2:11" ht="36.75" customHeight="1" x14ac:dyDescent="0.25">
      <c r="B39" s="448"/>
      <c r="C39" s="1008" t="s">
        <v>13</v>
      </c>
      <c r="D39" s="1008"/>
      <c r="E39" s="1008"/>
      <c r="F39" s="1008"/>
      <c r="G39" s="1008"/>
      <c r="H39" s="1008"/>
      <c r="I39" s="1008"/>
      <c r="J39" s="449">
        <f>SUM(J32:J38)</f>
        <v>41.747727272727275</v>
      </c>
      <c r="K39" s="449">
        <f>J39*1.25</f>
        <v>52.184659090909093</v>
      </c>
    </row>
    <row r="40" spans="2:11" ht="28.5" hidden="1" x14ac:dyDescent="0.25">
      <c r="B40" s="190">
        <v>3</v>
      </c>
      <c r="C40" s="1002" t="s">
        <v>302</v>
      </c>
      <c r="D40" s="1003" t="s">
        <v>14</v>
      </c>
      <c r="E40" s="416" t="s">
        <v>18</v>
      </c>
      <c r="F40" s="417" t="s">
        <v>19</v>
      </c>
      <c r="G40" s="418">
        <f>'اسعار الخامات'!E7</f>
        <v>650</v>
      </c>
      <c r="H40" s="417">
        <f>0.3/50</f>
        <v>6.0000000000000001E-3</v>
      </c>
      <c r="I40" s="420">
        <v>0.05</v>
      </c>
      <c r="J40" s="437">
        <f>H40*G40+(I40*H40*G40)</f>
        <v>4.0949999999999998</v>
      </c>
    </row>
    <row r="41" spans="2:11" ht="28.5" hidden="1" x14ac:dyDescent="0.25">
      <c r="B41" s="190"/>
      <c r="C41" s="1002"/>
      <c r="D41" s="1003"/>
      <c r="E41" s="416" t="s">
        <v>15</v>
      </c>
      <c r="F41" s="417" t="s">
        <v>12</v>
      </c>
      <c r="G41" s="417">
        <f>'اسعار الخامات'!E12</f>
        <v>13</v>
      </c>
      <c r="H41" s="417">
        <f>1/50*1.5</f>
        <v>0.03</v>
      </c>
      <c r="I41" s="420">
        <v>0.1</v>
      </c>
      <c r="J41" s="437">
        <f>H41*G41+(I41*H41*G41)</f>
        <v>0.42899999999999999</v>
      </c>
    </row>
    <row r="42" spans="2:11" ht="28.5" hidden="1" x14ac:dyDescent="0.25">
      <c r="B42" s="190"/>
      <c r="C42" s="1002"/>
      <c r="D42" s="1003"/>
      <c r="E42" s="416" t="s">
        <v>21</v>
      </c>
      <c r="F42" s="417" t="s">
        <v>12</v>
      </c>
      <c r="G42" s="417">
        <f>'اسعار الخامات'!E9</f>
        <v>35</v>
      </c>
      <c r="H42" s="417">
        <f>1/50</f>
        <v>0.02</v>
      </c>
      <c r="I42" s="420">
        <v>0.1</v>
      </c>
      <c r="J42" s="437">
        <f>H42*G42+(I42*H42*G42)</f>
        <v>0.77</v>
      </c>
    </row>
    <row r="43" spans="2:11" ht="59.25" hidden="1" customHeight="1" x14ac:dyDescent="0.25">
      <c r="B43" s="191"/>
      <c r="C43" s="1002"/>
      <c r="D43" s="416"/>
      <c r="E43" s="424" t="s">
        <v>442</v>
      </c>
      <c r="F43" s="417" t="s">
        <v>45</v>
      </c>
      <c r="G43" s="417">
        <v>3</v>
      </c>
      <c r="H43" s="417">
        <v>1</v>
      </c>
      <c r="I43" s="417">
        <v>0</v>
      </c>
      <c r="J43" s="431">
        <f t="shared" ref="J43" si="3">H43*G43+(I43*H43*G43)</f>
        <v>3</v>
      </c>
    </row>
    <row r="44" spans="2:11" ht="28.5" hidden="1" x14ac:dyDescent="0.25">
      <c r="B44" s="190"/>
      <c r="C44" s="1002"/>
      <c r="D44" s="1003" t="s">
        <v>11</v>
      </c>
      <c r="E44" s="416" t="s">
        <v>198</v>
      </c>
      <c r="F44" s="417" t="s">
        <v>45</v>
      </c>
      <c r="G44" s="417">
        <f>'اسعار المصنعيات'!D17</f>
        <v>25</v>
      </c>
      <c r="H44" s="417">
        <v>1</v>
      </c>
      <c r="I44" s="417">
        <v>0</v>
      </c>
      <c r="J44" s="437">
        <f>H44*G44+(I44*H44*G44)</f>
        <v>25</v>
      </c>
    </row>
    <row r="45" spans="2:11" ht="28.5" hidden="1" x14ac:dyDescent="0.25">
      <c r="B45" s="190"/>
      <c r="C45" s="1002"/>
      <c r="D45" s="1003"/>
      <c r="E45" s="416" t="s">
        <v>199</v>
      </c>
      <c r="F45" s="417" t="s">
        <v>45</v>
      </c>
      <c r="G45" s="417">
        <f>'اسعار المصنعيات'!D21</f>
        <v>4</v>
      </c>
      <c r="H45" s="417">
        <v>1</v>
      </c>
      <c r="I45" s="417">
        <v>0</v>
      </c>
      <c r="J45" s="437">
        <f>H45*G45+(I45*H45*G45)</f>
        <v>4</v>
      </c>
    </row>
    <row r="46" spans="2:11" ht="28.5" hidden="1" x14ac:dyDescent="0.25">
      <c r="B46" s="187"/>
      <c r="C46" s="1004" t="s">
        <v>13</v>
      </c>
      <c r="D46" s="1004"/>
      <c r="E46" s="1004"/>
      <c r="F46" s="1004"/>
      <c r="G46" s="1004"/>
      <c r="H46" s="1004"/>
      <c r="I46" s="1004"/>
      <c r="J46" s="426">
        <f>SUM(J40:J45)</f>
        <v>37.293999999999997</v>
      </c>
    </row>
    <row r="47" spans="2:11" ht="29.25" thickBot="1" x14ac:dyDescent="0.3">
      <c r="B47" s="185"/>
      <c r="D47" s="3"/>
      <c r="F47" s="3"/>
      <c r="G47" s="3"/>
      <c r="H47" s="3"/>
      <c r="I47" s="3"/>
      <c r="J47" s="3"/>
    </row>
    <row r="48" spans="2:11" ht="29.25" customHeight="1" thickBot="1" x14ac:dyDescent="0.3">
      <c r="B48" s="185"/>
      <c r="D48" s="3"/>
      <c r="E48" s="1011" t="s">
        <v>522</v>
      </c>
      <c r="F48" s="1012"/>
      <c r="G48" s="1012"/>
      <c r="H48" s="1013"/>
      <c r="I48" s="3"/>
      <c r="J48" s="3"/>
    </row>
    <row r="49" spans="2:11" ht="28.5" x14ac:dyDescent="0.25">
      <c r="B49" s="185"/>
      <c r="D49" s="3"/>
      <c r="F49" s="3"/>
      <c r="G49" s="3"/>
      <c r="H49" s="3"/>
      <c r="I49" s="3"/>
      <c r="J49" s="3"/>
    </row>
    <row r="50" spans="2:11" ht="28.5" x14ac:dyDescent="0.25">
      <c r="B50" s="185"/>
      <c r="D50" s="3"/>
      <c r="F50" s="3"/>
      <c r="G50" s="3"/>
      <c r="H50" s="3"/>
      <c r="I50" s="3"/>
      <c r="J50" s="3"/>
    </row>
    <row r="51" spans="2:11" s="34" customFormat="1" ht="69.75" customHeight="1" x14ac:dyDescent="0.25">
      <c r="B51" s="186" t="s">
        <v>0</v>
      </c>
      <c r="C51" s="451" t="s">
        <v>1</v>
      </c>
      <c r="D51" s="997" t="s">
        <v>2</v>
      </c>
      <c r="E51" s="997"/>
      <c r="F51" s="414" t="s">
        <v>3</v>
      </c>
      <c r="G51" s="414" t="s">
        <v>4</v>
      </c>
      <c r="H51" s="414" t="s">
        <v>5</v>
      </c>
      <c r="I51" s="414" t="s">
        <v>6</v>
      </c>
      <c r="J51" s="415" t="s">
        <v>7</v>
      </c>
      <c r="K51" s="185"/>
    </row>
    <row r="52" spans="2:11" ht="27" customHeight="1" x14ac:dyDescent="0.25">
      <c r="B52" s="191">
        <v>6</v>
      </c>
      <c r="C52" s="1005" t="s">
        <v>450</v>
      </c>
      <c r="D52" s="1009" t="s">
        <v>14</v>
      </c>
      <c r="E52" s="427" t="s">
        <v>451</v>
      </c>
      <c r="F52" s="428" t="s">
        <v>207</v>
      </c>
      <c r="G52" s="428">
        <f>'اسعار الخامات'!E22</f>
        <v>46.4</v>
      </c>
      <c r="H52" s="435">
        <v>0.06</v>
      </c>
      <c r="I52" s="430">
        <v>0.03</v>
      </c>
      <c r="J52" s="431">
        <f>H52*G52+(I52*H52*G52)</f>
        <v>2.8675199999999998</v>
      </c>
    </row>
    <row r="53" spans="2:11" ht="27" customHeight="1" x14ac:dyDescent="0.25">
      <c r="B53" s="191"/>
      <c r="C53" s="1006"/>
      <c r="D53" s="1009"/>
      <c r="E53" s="427" t="s">
        <v>15</v>
      </c>
      <c r="F53" s="428" t="s">
        <v>12</v>
      </c>
      <c r="G53" s="428">
        <f>'اسعار الخامات'!E12</f>
        <v>13</v>
      </c>
      <c r="H53" s="428">
        <f>1/25</f>
        <v>0.04</v>
      </c>
      <c r="I53" s="430">
        <v>0.1</v>
      </c>
      <c r="J53" s="431">
        <f>H53*G53+(I53*H53*G53)</f>
        <v>0.57200000000000006</v>
      </c>
    </row>
    <row r="54" spans="2:11" ht="27" customHeight="1" x14ac:dyDescent="0.25">
      <c r="B54" s="191"/>
      <c r="C54" s="1006"/>
      <c r="D54" s="427" t="s">
        <v>11</v>
      </c>
      <c r="E54" s="427" t="s">
        <v>64</v>
      </c>
      <c r="F54" s="428" t="s">
        <v>45</v>
      </c>
      <c r="G54" s="428">
        <f>'اسعار المصنعيات'!D19</f>
        <v>7</v>
      </c>
      <c r="H54" s="428">
        <v>1</v>
      </c>
      <c r="I54" s="428">
        <v>0</v>
      </c>
      <c r="J54" s="431">
        <f>H54*G54</f>
        <v>7</v>
      </c>
    </row>
    <row r="55" spans="2:11" ht="27" customHeight="1" x14ac:dyDescent="0.25">
      <c r="B55" s="190"/>
      <c r="C55" s="1007"/>
      <c r="D55" s="427"/>
      <c r="E55" s="438" t="s">
        <v>199</v>
      </c>
      <c r="F55" s="434" t="s">
        <v>45</v>
      </c>
      <c r="G55" s="417">
        <f>'اسعار المصنعيات'!D21</f>
        <v>4</v>
      </c>
      <c r="H55" s="434">
        <v>1</v>
      </c>
      <c r="I55" s="434">
        <v>0</v>
      </c>
      <c r="J55" s="437">
        <f>H55*G55+(I55*H55*G55)</f>
        <v>4</v>
      </c>
    </row>
    <row r="56" spans="2:11" ht="36.75" customHeight="1" x14ac:dyDescent="0.25">
      <c r="B56" s="448"/>
      <c r="C56" s="1008" t="s">
        <v>13</v>
      </c>
      <c r="D56" s="1008"/>
      <c r="E56" s="1008"/>
      <c r="F56" s="1008"/>
      <c r="G56" s="1008"/>
      <c r="H56" s="1008"/>
      <c r="I56" s="1008"/>
      <c r="J56" s="449">
        <f>SUM(J52:J55)</f>
        <v>14.43952</v>
      </c>
      <c r="K56" s="449">
        <f>J56*1.25</f>
        <v>18.049399999999999</v>
      </c>
    </row>
    <row r="57" spans="2:11" ht="28.5" x14ac:dyDescent="0.25">
      <c r="B57" s="185"/>
      <c r="D57" s="3"/>
      <c r="F57" s="3"/>
      <c r="G57" s="3"/>
      <c r="H57" s="3"/>
      <c r="I57" s="3"/>
      <c r="J57" s="3"/>
    </row>
    <row r="58" spans="2:11" s="34" customFormat="1" ht="69.75" customHeight="1" x14ac:dyDescent="0.25">
      <c r="B58" s="186" t="s">
        <v>0</v>
      </c>
      <c r="C58" s="451" t="s">
        <v>1</v>
      </c>
      <c r="D58" s="997" t="s">
        <v>2</v>
      </c>
      <c r="E58" s="997"/>
      <c r="F58" s="414" t="s">
        <v>3</v>
      </c>
      <c r="G58" s="414" t="s">
        <v>4</v>
      </c>
      <c r="H58" s="414" t="s">
        <v>5</v>
      </c>
      <c r="I58" s="414" t="s">
        <v>6</v>
      </c>
      <c r="J58" s="415" t="s">
        <v>7</v>
      </c>
      <c r="K58" s="185"/>
    </row>
    <row r="59" spans="2:11" ht="35.1" customHeight="1" x14ac:dyDescent="0.25">
      <c r="B59" s="190">
        <v>4</v>
      </c>
      <c r="C59" s="1002" t="s">
        <v>224</v>
      </c>
      <c r="D59" s="436" t="s">
        <v>14</v>
      </c>
      <c r="E59" s="438" t="s">
        <v>53</v>
      </c>
      <c r="F59" s="434" t="s">
        <v>207</v>
      </c>
      <c r="G59" s="439">
        <f>'اسعار الخامات'!E19/33</f>
        <v>16.666666666666668</v>
      </c>
      <c r="H59" s="440">
        <f>1/30</f>
        <v>3.3333333333333333E-2</v>
      </c>
      <c r="I59" s="441">
        <v>0.05</v>
      </c>
      <c r="J59" s="437">
        <f>H59*G59+(I59*H59*G59)</f>
        <v>0.58333333333333337</v>
      </c>
    </row>
    <row r="60" spans="2:11" ht="28.5" x14ac:dyDescent="0.25">
      <c r="B60" s="190"/>
      <c r="C60" s="1002"/>
      <c r="D60" s="436" t="s">
        <v>11</v>
      </c>
      <c r="E60" s="438" t="s">
        <v>54</v>
      </c>
      <c r="F60" s="434" t="s">
        <v>45</v>
      </c>
      <c r="G60" s="442">
        <f>'اسعار المصنعيات'!D18</f>
        <v>16</v>
      </c>
      <c r="H60" s="434">
        <v>1</v>
      </c>
      <c r="I60" s="434">
        <v>0</v>
      </c>
      <c r="J60" s="437">
        <f>H60*G60</f>
        <v>16</v>
      </c>
    </row>
    <row r="61" spans="2:11" ht="36.75" customHeight="1" x14ac:dyDescent="0.25">
      <c r="B61" s="448"/>
      <c r="C61" s="1008" t="s">
        <v>13</v>
      </c>
      <c r="D61" s="1008"/>
      <c r="E61" s="1008"/>
      <c r="F61" s="1008"/>
      <c r="G61" s="1008"/>
      <c r="H61" s="1008"/>
      <c r="I61" s="1008"/>
      <c r="J61" s="449">
        <f>SUM(J59:J60)</f>
        <v>16.583333333333332</v>
      </c>
      <c r="K61" s="449">
        <f>J61*1.25</f>
        <v>20.729166666666664</v>
      </c>
    </row>
    <row r="62" spans="2:11" ht="36.75" customHeight="1" x14ac:dyDescent="0.25">
      <c r="B62" s="185"/>
      <c r="C62" s="317"/>
      <c r="D62" s="185"/>
      <c r="E62" s="185"/>
      <c r="F62" s="185"/>
      <c r="G62" s="185"/>
      <c r="H62" s="185"/>
      <c r="I62" s="185"/>
      <c r="J62" s="185"/>
    </row>
    <row r="63" spans="2:11" s="34" customFormat="1" ht="69.75" customHeight="1" x14ac:dyDescent="0.25">
      <c r="B63" s="186" t="s">
        <v>0</v>
      </c>
      <c r="C63" s="451" t="s">
        <v>1</v>
      </c>
      <c r="D63" s="997" t="s">
        <v>2</v>
      </c>
      <c r="E63" s="997"/>
      <c r="F63" s="414" t="s">
        <v>3</v>
      </c>
      <c r="G63" s="414" t="s">
        <v>4</v>
      </c>
      <c r="H63" s="414" t="s">
        <v>5</v>
      </c>
      <c r="I63" s="414" t="s">
        <v>6</v>
      </c>
      <c r="J63" s="415" t="s">
        <v>7</v>
      </c>
      <c r="K63" s="185"/>
    </row>
    <row r="64" spans="2:11" ht="36" customHeight="1" x14ac:dyDescent="0.25">
      <c r="B64" s="190">
        <v>5</v>
      </c>
      <c r="C64" s="1002" t="s">
        <v>201</v>
      </c>
      <c r="D64" s="1014" t="s">
        <v>14</v>
      </c>
      <c r="E64" s="438" t="s">
        <v>200</v>
      </c>
      <c r="F64" s="434" t="s">
        <v>207</v>
      </c>
      <c r="G64" s="443">
        <f>'اسعار الخامات'!E23</f>
        <v>44</v>
      </c>
      <c r="H64" s="440">
        <v>7.6923076923076927E-2</v>
      </c>
      <c r="I64" s="441">
        <v>0.03</v>
      </c>
      <c r="J64" s="437">
        <f>H64*G64+(I64*H64*G64)</f>
        <v>3.4861538461538464</v>
      </c>
    </row>
    <row r="65" spans="2:11" ht="36" customHeight="1" x14ac:dyDescent="0.25">
      <c r="B65" s="190"/>
      <c r="C65" s="1002"/>
      <c r="D65" s="1014"/>
      <c r="E65" s="438" t="s">
        <v>15</v>
      </c>
      <c r="F65" s="434" t="s">
        <v>12</v>
      </c>
      <c r="G65" s="443">
        <f>'اسعار الخامات'!E12</f>
        <v>13</v>
      </c>
      <c r="H65" s="434">
        <f>1/25</f>
        <v>0.04</v>
      </c>
      <c r="I65" s="441">
        <v>0.1</v>
      </c>
      <c r="J65" s="437">
        <f>H65*G65+(I65*H65*G65)</f>
        <v>0.57200000000000006</v>
      </c>
    </row>
    <row r="66" spans="2:11" ht="28.5" x14ac:dyDescent="0.25">
      <c r="B66" s="190"/>
      <c r="C66" s="1002"/>
      <c r="D66" s="436" t="s">
        <v>11</v>
      </c>
      <c r="E66" s="438" t="s">
        <v>64</v>
      </c>
      <c r="F66" s="434" t="s">
        <v>45</v>
      </c>
      <c r="G66" s="442">
        <f>'اسعار المصنعيات'!D19</f>
        <v>7</v>
      </c>
      <c r="H66" s="434">
        <v>1</v>
      </c>
      <c r="I66" s="434">
        <v>0</v>
      </c>
      <c r="J66" s="437">
        <f>H66*G66</f>
        <v>7</v>
      </c>
    </row>
    <row r="67" spans="2:11" ht="36.75" customHeight="1" x14ac:dyDescent="0.25">
      <c r="B67" s="448"/>
      <c r="C67" s="1008" t="s">
        <v>13</v>
      </c>
      <c r="D67" s="1008"/>
      <c r="E67" s="1008"/>
      <c r="F67" s="1008"/>
      <c r="G67" s="1008"/>
      <c r="H67" s="1008"/>
      <c r="I67" s="1008"/>
      <c r="J67" s="449">
        <f>SUM(J64:J66)</f>
        <v>11.058153846153846</v>
      </c>
      <c r="K67" s="449">
        <f>J67*1.25</f>
        <v>13.822692307692307</v>
      </c>
    </row>
    <row r="68" spans="2:11" ht="36.75" customHeight="1" x14ac:dyDescent="0.25">
      <c r="B68" s="185"/>
      <c r="C68" s="317"/>
      <c r="D68" s="185"/>
      <c r="E68" s="185"/>
      <c r="F68" s="185"/>
      <c r="G68" s="185"/>
      <c r="H68" s="185"/>
      <c r="I68" s="185"/>
      <c r="J68" s="185"/>
    </row>
    <row r="69" spans="2:11" s="34" customFormat="1" ht="69.75" customHeight="1" x14ac:dyDescent="0.25">
      <c r="B69" s="186" t="s">
        <v>0</v>
      </c>
      <c r="C69" s="451" t="s">
        <v>1</v>
      </c>
      <c r="D69" s="997" t="s">
        <v>2</v>
      </c>
      <c r="E69" s="997"/>
      <c r="F69" s="414" t="s">
        <v>3</v>
      </c>
      <c r="G69" s="414" t="s">
        <v>4</v>
      </c>
      <c r="H69" s="414" t="s">
        <v>5</v>
      </c>
      <c r="I69" s="414" t="s">
        <v>6</v>
      </c>
      <c r="J69" s="415" t="s">
        <v>7</v>
      </c>
      <c r="K69" s="185"/>
    </row>
    <row r="70" spans="2:11" ht="36" customHeight="1" x14ac:dyDescent="0.25">
      <c r="B70" s="190">
        <v>6</v>
      </c>
      <c r="C70" s="1002" t="s">
        <v>450</v>
      </c>
      <c r="D70" s="1014" t="s">
        <v>14</v>
      </c>
      <c r="E70" s="438" t="s">
        <v>200</v>
      </c>
      <c r="F70" s="434" t="s">
        <v>207</v>
      </c>
      <c r="G70" s="443">
        <f>'اسعار الخامات'!E27</f>
        <v>30</v>
      </c>
      <c r="H70" s="440">
        <f>1/13</f>
        <v>7.6923076923076927E-2</v>
      </c>
      <c r="I70" s="441">
        <v>0.03</v>
      </c>
      <c r="J70" s="437">
        <f>H70*G70+(I70*H70*G70)</f>
        <v>2.3769230769230774</v>
      </c>
    </row>
    <row r="71" spans="2:11" ht="36" customHeight="1" x14ac:dyDescent="0.25">
      <c r="B71" s="190"/>
      <c r="C71" s="1002"/>
      <c r="D71" s="1014"/>
      <c r="E71" s="438" t="s">
        <v>15</v>
      </c>
      <c r="F71" s="434" t="s">
        <v>12</v>
      </c>
      <c r="G71" s="443">
        <f>'اسعار الخامات'!E12</f>
        <v>13</v>
      </c>
      <c r="H71" s="434">
        <f>1/25</f>
        <v>0.04</v>
      </c>
      <c r="I71" s="441">
        <v>0.1</v>
      </c>
      <c r="J71" s="437">
        <f>H71*G71+(I71*H71*G71)</f>
        <v>0.57200000000000006</v>
      </c>
    </row>
    <row r="72" spans="2:11" ht="28.5" x14ac:dyDescent="0.25">
      <c r="B72" s="190"/>
      <c r="C72" s="1002"/>
      <c r="D72" s="436" t="s">
        <v>11</v>
      </c>
      <c r="E72" s="438" t="s">
        <v>64</v>
      </c>
      <c r="F72" s="434" t="s">
        <v>45</v>
      </c>
      <c r="G72" s="442">
        <f>'اسعار المصنعيات'!D24</f>
        <v>8</v>
      </c>
      <c r="H72" s="434">
        <v>1</v>
      </c>
      <c r="I72" s="434">
        <v>0</v>
      </c>
      <c r="J72" s="437">
        <f>H72*G72</f>
        <v>8</v>
      </c>
    </row>
    <row r="73" spans="2:11" ht="36.75" customHeight="1" x14ac:dyDescent="0.25">
      <c r="B73" s="448"/>
      <c r="C73" s="1008" t="s">
        <v>13</v>
      </c>
      <c r="D73" s="1008"/>
      <c r="E73" s="1008"/>
      <c r="F73" s="1008"/>
      <c r="G73" s="1008"/>
      <c r="H73" s="1008"/>
      <c r="I73" s="1008"/>
      <c r="J73" s="449">
        <f>SUM(J70:J72)</f>
        <v>10.948923076923077</v>
      </c>
      <c r="K73" s="449">
        <f>J73*1.25</f>
        <v>13.686153846153847</v>
      </c>
    </row>
    <row r="74" spans="2:11" ht="36.75" customHeight="1" x14ac:dyDescent="0.25">
      <c r="B74" s="185"/>
      <c r="C74" s="317"/>
      <c r="D74" s="185"/>
      <c r="E74" s="185"/>
      <c r="F74" s="185"/>
      <c r="G74" s="185"/>
      <c r="H74" s="185"/>
      <c r="I74" s="185"/>
      <c r="J74" s="185"/>
    </row>
    <row r="75" spans="2:11" s="34" customFormat="1" ht="69.75" customHeight="1" x14ac:dyDescent="0.25">
      <c r="B75" s="186" t="s">
        <v>0</v>
      </c>
      <c r="C75" s="451" t="s">
        <v>1</v>
      </c>
      <c r="D75" s="997" t="s">
        <v>2</v>
      </c>
      <c r="E75" s="997"/>
      <c r="F75" s="414" t="s">
        <v>3</v>
      </c>
      <c r="G75" s="414" t="s">
        <v>4</v>
      </c>
      <c r="H75" s="414" t="s">
        <v>5</v>
      </c>
      <c r="I75" s="414" t="s">
        <v>6</v>
      </c>
      <c r="J75" s="415" t="s">
        <v>7</v>
      </c>
      <c r="K75" s="185"/>
    </row>
    <row r="76" spans="2:11" ht="28.5" x14ac:dyDescent="0.25">
      <c r="B76" s="190">
        <v>3</v>
      </c>
      <c r="C76" s="1002" t="s">
        <v>317</v>
      </c>
      <c r="D76" s="1014" t="s">
        <v>14</v>
      </c>
      <c r="E76" s="438" t="s">
        <v>56</v>
      </c>
      <c r="F76" s="434" t="s">
        <v>49</v>
      </c>
      <c r="G76" s="444">
        <f>'اسعار الخامات'!E18/1000</f>
        <v>1</v>
      </c>
      <c r="H76" s="434">
        <v>0.75</v>
      </c>
      <c r="I76" s="441">
        <v>0.05</v>
      </c>
      <c r="J76" s="437">
        <f t="shared" ref="J76:J81" si="4">H76*G76+(I76*H76*G76)</f>
        <v>0.78749999999999998</v>
      </c>
    </row>
    <row r="77" spans="2:11" ht="28.5" x14ac:dyDescent="0.25">
      <c r="B77" s="190"/>
      <c r="C77" s="1002"/>
      <c r="D77" s="1014"/>
      <c r="E77" s="438" t="s">
        <v>318</v>
      </c>
      <c r="F77" s="434" t="s">
        <v>49</v>
      </c>
      <c r="G77" s="444">
        <v>0.16</v>
      </c>
      <c r="H77" s="434">
        <v>1</v>
      </c>
      <c r="I77" s="441">
        <v>0.05</v>
      </c>
      <c r="J77" s="437">
        <f t="shared" si="4"/>
        <v>0.16800000000000001</v>
      </c>
    </row>
    <row r="78" spans="2:11" ht="28.5" x14ac:dyDescent="0.25">
      <c r="B78" s="190"/>
      <c r="C78" s="1002"/>
      <c r="D78" s="1014"/>
      <c r="E78" s="438" t="s">
        <v>319</v>
      </c>
      <c r="F78" s="434" t="s">
        <v>12</v>
      </c>
      <c r="G78" s="444">
        <f>'اسعار الخامات'!E20</f>
        <v>380</v>
      </c>
      <c r="H78" s="434">
        <v>5.2999999999999998E-4</v>
      </c>
      <c r="I78" s="441">
        <v>0.05</v>
      </c>
      <c r="J78" s="437">
        <f t="shared" si="4"/>
        <v>0.21146999999999999</v>
      </c>
    </row>
    <row r="79" spans="2:11" ht="28.5" x14ac:dyDescent="0.25">
      <c r="B79" s="190"/>
      <c r="C79" s="1002"/>
      <c r="D79" s="1014"/>
      <c r="E79" s="438" t="s">
        <v>15</v>
      </c>
      <c r="F79" s="434" t="s">
        <v>12</v>
      </c>
      <c r="G79" s="443">
        <f>'اسعار الخامات'!E12</f>
        <v>13</v>
      </c>
      <c r="H79" s="434">
        <f>1/100*1.5</f>
        <v>1.4999999999999999E-2</v>
      </c>
      <c r="I79" s="441">
        <v>0.1</v>
      </c>
      <c r="J79" s="437">
        <f t="shared" si="4"/>
        <v>0.2145</v>
      </c>
    </row>
    <row r="80" spans="2:11" ht="28.5" x14ac:dyDescent="0.25">
      <c r="B80" s="190"/>
      <c r="C80" s="1002"/>
      <c r="D80" s="1014"/>
      <c r="E80" s="438" t="s">
        <v>21</v>
      </c>
      <c r="F80" s="434" t="s">
        <v>12</v>
      </c>
      <c r="G80" s="443">
        <f>'اسعار الخامات'!E9</f>
        <v>35</v>
      </c>
      <c r="H80" s="434">
        <v>1.1000000000000001E-3</v>
      </c>
      <c r="I80" s="441">
        <v>0.1</v>
      </c>
      <c r="J80" s="437">
        <f t="shared" si="4"/>
        <v>4.2349999999999999E-2</v>
      </c>
    </row>
    <row r="81" spans="2:11" ht="28.5" x14ac:dyDescent="0.25">
      <c r="B81" s="190"/>
      <c r="C81" s="1002"/>
      <c r="D81" s="436" t="s">
        <v>11</v>
      </c>
      <c r="E81" s="438" t="s">
        <v>198</v>
      </c>
      <c r="F81" s="434" t="s">
        <v>45</v>
      </c>
      <c r="G81" s="442">
        <f>'اسعار المصنعيات'!D20</f>
        <v>0</v>
      </c>
      <c r="H81" s="434">
        <v>1</v>
      </c>
      <c r="I81" s="434">
        <v>0</v>
      </c>
      <c r="J81" s="437">
        <f t="shared" si="4"/>
        <v>0</v>
      </c>
    </row>
    <row r="82" spans="2:11" ht="36.75" customHeight="1" x14ac:dyDescent="0.25">
      <c r="B82" s="448"/>
      <c r="C82" s="1008" t="s">
        <v>13</v>
      </c>
      <c r="D82" s="1008"/>
      <c r="E82" s="1008"/>
      <c r="F82" s="1008"/>
      <c r="G82" s="1008"/>
      <c r="H82" s="1008"/>
      <c r="I82" s="1008"/>
      <c r="J82" s="449">
        <f>SUM(J76:J81)</f>
        <v>1.4238200000000001</v>
      </c>
      <c r="K82" s="449">
        <f>J82*1.25</f>
        <v>1.7797750000000001</v>
      </c>
    </row>
    <row r="83" spans="2:11" ht="35.1" customHeight="1" x14ac:dyDescent="0.25">
      <c r="D83" s="3"/>
      <c r="F83" s="3"/>
    </row>
    <row r="84" spans="2:11" ht="35.1" customHeight="1" x14ac:dyDescent="0.25">
      <c r="D84" s="3"/>
      <c r="F84" s="3"/>
    </row>
    <row r="85" spans="2:11" ht="35.1" customHeight="1" x14ac:dyDescent="0.25">
      <c r="D85" s="3"/>
      <c r="F85" s="3"/>
    </row>
    <row r="86" spans="2:11" ht="35.1" customHeight="1" x14ac:dyDescent="0.25">
      <c r="D86" s="3"/>
      <c r="F86" s="3"/>
    </row>
    <row r="87" spans="2:11" ht="35.1" customHeight="1" x14ac:dyDescent="0.25">
      <c r="D87" s="3"/>
      <c r="F87" s="3"/>
    </row>
    <row r="88" spans="2:11" ht="35.1" customHeight="1" x14ac:dyDescent="0.25">
      <c r="D88" s="3"/>
      <c r="F88" s="3"/>
    </row>
    <row r="89" spans="2:11" ht="35.1" customHeight="1" x14ac:dyDescent="0.25">
      <c r="D89" s="3"/>
      <c r="F89" s="3"/>
    </row>
    <row r="90" spans="2:11" ht="35.1" customHeight="1" x14ac:dyDescent="0.25">
      <c r="D90" s="3"/>
      <c r="F90" s="3"/>
    </row>
    <row r="91" spans="2:11" ht="35.1" customHeight="1" x14ac:dyDescent="0.25">
      <c r="D91" s="3"/>
      <c r="F91" s="3"/>
    </row>
    <row r="92" spans="2:11" ht="35.1" customHeight="1" x14ac:dyDescent="0.25">
      <c r="D92" s="3"/>
      <c r="F92" s="3"/>
    </row>
    <row r="93" spans="2:11" ht="35.1" customHeight="1" x14ac:dyDescent="0.25">
      <c r="D93" s="3"/>
      <c r="F93" s="3"/>
    </row>
    <row r="94" spans="2:11" ht="35.1" customHeight="1" x14ac:dyDescent="0.25">
      <c r="D94" s="3"/>
      <c r="F94" s="3"/>
    </row>
    <row r="95" spans="2:11" ht="35.1" customHeight="1" x14ac:dyDescent="0.25">
      <c r="D95" s="3"/>
      <c r="F95" s="3"/>
    </row>
    <row r="96" spans="2:11" ht="35.1" customHeight="1" x14ac:dyDescent="0.25">
      <c r="D96" s="3"/>
      <c r="F96" s="3"/>
    </row>
    <row r="97" spans="4:6" ht="35.1" customHeight="1" x14ac:dyDescent="0.25">
      <c r="D97" s="3"/>
      <c r="F97" s="3"/>
    </row>
    <row r="98" spans="4:6" ht="35.1" customHeight="1" x14ac:dyDescent="0.25">
      <c r="D98" s="3"/>
      <c r="F98" s="3"/>
    </row>
    <row r="99" spans="4:6" ht="35.1" customHeight="1" x14ac:dyDescent="0.25">
      <c r="D99" s="3"/>
      <c r="F99" s="3"/>
    </row>
    <row r="100" spans="4:6" ht="35.1" customHeight="1" x14ac:dyDescent="0.25">
      <c r="D100" s="3"/>
      <c r="F100" s="3"/>
    </row>
    <row r="101" spans="4:6" ht="35.1" customHeight="1" x14ac:dyDescent="0.25">
      <c r="D101" s="3"/>
      <c r="F101" s="3"/>
    </row>
    <row r="102" spans="4:6" ht="35.1" customHeight="1" x14ac:dyDescent="0.25">
      <c r="D102" s="3"/>
      <c r="F102" s="3"/>
    </row>
    <row r="103" spans="4:6" ht="35.1" customHeight="1" x14ac:dyDescent="0.25">
      <c r="D103" s="3"/>
      <c r="F103" s="3"/>
    </row>
    <row r="104" spans="4:6" ht="35.1" customHeight="1" x14ac:dyDescent="0.25">
      <c r="D104" s="3"/>
      <c r="F104" s="3"/>
    </row>
    <row r="105" spans="4:6" ht="35.1" customHeight="1" x14ac:dyDescent="0.25">
      <c r="D105" s="3"/>
      <c r="F105" s="3"/>
    </row>
    <row r="106" spans="4:6" ht="35.1" customHeight="1" x14ac:dyDescent="0.25">
      <c r="D106" s="3"/>
      <c r="F106" s="3"/>
    </row>
    <row r="107" spans="4:6" ht="35.1" customHeight="1" x14ac:dyDescent="0.25">
      <c r="D107" s="3"/>
      <c r="F107" s="3"/>
    </row>
    <row r="108" spans="4:6" ht="35.1" customHeight="1" x14ac:dyDescent="0.25">
      <c r="D108" s="3"/>
      <c r="F108" s="3"/>
    </row>
    <row r="109" spans="4:6" ht="35.1" customHeight="1" x14ac:dyDescent="0.25">
      <c r="D109" s="3"/>
      <c r="F109" s="3"/>
    </row>
    <row r="110" spans="4:6" ht="35.1" customHeight="1" x14ac:dyDescent="0.25">
      <c r="D110" s="3"/>
      <c r="F110" s="3"/>
    </row>
    <row r="111" spans="4:6" ht="35.1" customHeight="1" x14ac:dyDescent="0.25">
      <c r="D111" s="3"/>
      <c r="F111" s="3"/>
    </row>
    <row r="112" spans="4:6" ht="35.1" customHeight="1" x14ac:dyDescent="0.25">
      <c r="D112" s="3"/>
      <c r="F112" s="3"/>
    </row>
    <row r="113" spans="4:6" ht="35.1" customHeight="1" x14ac:dyDescent="0.25">
      <c r="D113" s="3"/>
      <c r="F113" s="3"/>
    </row>
    <row r="114" spans="4:6" ht="35.1" customHeight="1" x14ac:dyDescent="0.25">
      <c r="D114" s="3"/>
      <c r="F114" s="3"/>
    </row>
    <row r="115" spans="4:6" ht="35.1" customHeight="1" x14ac:dyDescent="0.25">
      <c r="D115" s="3"/>
      <c r="F115" s="3"/>
    </row>
    <row r="116" spans="4:6" ht="35.1" customHeight="1" x14ac:dyDescent="0.25">
      <c r="D116" s="3"/>
      <c r="F116" s="3"/>
    </row>
    <row r="117" spans="4:6" ht="35.1" customHeight="1" x14ac:dyDescent="0.25">
      <c r="D117" s="3"/>
      <c r="F117" s="3"/>
    </row>
    <row r="118" spans="4:6" ht="35.1" customHeight="1" x14ac:dyDescent="0.25">
      <c r="D118" s="3"/>
      <c r="F118" s="3"/>
    </row>
    <row r="119" spans="4:6" ht="35.1" customHeight="1" x14ac:dyDescent="0.25">
      <c r="D119" s="3"/>
      <c r="F119" s="3"/>
    </row>
    <row r="120" spans="4:6" ht="35.1" customHeight="1" x14ac:dyDescent="0.25">
      <c r="D120" s="3"/>
      <c r="F120" s="3"/>
    </row>
    <row r="121" spans="4:6" ht="35.1" customHeight="1" x14ac:dyDescent="0.25">
      <c r="D121" s="3"/>
      <c r="F121" s="3"/>
    </row>
    <row r="122" spans="4:6" ht="35.1" customHeight="1" x14ac:dyDescent="0.25">
      <c r="D122" s="3"/>
      <c r="F122" s="3"/>
    </row>
    <row r="123" spans="4:6" ht="35.1" customHeight="1" x14ac:dyDescent="0.25">
      <c r="D123" s="3"/>
      <c r="F123" s="3"/>
    </row>
    <row r="124" spans="4:6" ht="35.1" customHeight="1" x14ac:dyDescent="0.25">
      <c r="D124" s="3"/>
      <c r="F124" s="3"/>
    </row>
    <row r="125" spans="4:6" ht="35.1" customHeight="1" x14ac:dyDescent="0.25">
      <c r="D125" s="3"/>
      <c r="F125" s="3"/>
    </row>
    <row r="126" spans="4:6" ht="35.1" customHeight="1" x14ac:dyDescent="0.25">
      <c r="D126" s="3"/>
      <c r="F126" s="3"/>
    </row>
    <row r="127" spans="4:6" ht="35.1" customHeight="1" x14ac:dyDescent="0.25">
      <c r="D127" s="3"/>
      <c r="F127" s="3"/>
    </row>
    <row r="128" spans="4:6" ht="35.1" customHeight="1" x14ac:dyDescent="0.25">
      <c r="D128" s="3"/>
      <c r="F128" s="3"/>
    </row>
    <row r="129" spans="4:6" ht="35.1" customHeight="1" x14ac:dyDescent="0.25">
      <c r="D129" s="3"/>
      <c r="F129" s="3"/>
    </row>
    <row r="130" spans="4:6" ht="35.1" customHeight="1" x14ac:dyDescent="0.25">
      <c r="D130" s="3"/>
      <c r="F130" s="3"/>
    </row>
    <row r="131" spans="4:6" ht="35.1" customHeight="1" x14ac:dyDescent="0.25">
      <c r="D131" s="3"/>
      <c r="F131" s="3"/>
    </row>
    <row r="132" spans="4:6" ht="35.1" customHeight="1" x14ac:dyDescent="0.25">
      <c r="D132" s="3"/>
      <c r="F132" s="3"/>
    </row>
    <row r="133" spans="4:6" ht="35.1" customHeight="1" x14ac:dyDescent="0.25">
      <c r="D133" s="3"/>
      <c r="F133" s="3"/>
    </row>
    <row r="134" spans="4:6" ht="35.1" customHeight="1" x14ac:dyDescent="0.25">
      <c r="D134" s="3"/>
      <c r="F134" s="3"/>
    </row>
    <row r="135" spans="4:6" ht="35.1" customHeight="1" x14ac:dyDescent="0.25">
      <c r="D135" s="3"/>
      <c r="F135" s="3"/>
    </row>
    <row r="136" spans="4:6" ht="35.1" customHeight="1" x14ac:dyDescent="0.25">
      <c r="D136" s="3"/>
      <c r="F136" s="3"/>
    </row>
    <row r="137" spans="4:6" ht="35.1" customHeight="1" x14ac:dyDescent="0.25">
      <c r="D137" s="3"/>
      <c r="F137" s="3"/>
    </row>
    <row r="138" spans="4:6" ht="35.1" customHeight="1" x14ac:dyDescent="0.25">
      <c r="D138" s="3"/>
      <c r="F138" s="3"/>
    </row>
    <row r="139" spans="4:6" ht="35.1" customHeight="1" x14ac:dyDescent="0.25">
      <c r="D139" s="3"/>
      <c r="F139" s="3"/>
    </row>
    <row r="140" spans="4:6" ht="35.1" customHeight="1" x14ac:dyDescent="0.25">
      <c r="D140" s="3"/>
      <c r="F140" s="3"/>
    </row>
    <row r="141" spans="4:6" ht="35.1" customHeight="1" x14ac:dyDescent="0.25">
      <c r="D141" s="3"/>
      <c r="F141" s="3"/>
    </row>
    <row r="142" spans="4:6" ht="35.1" customHeight="1" x14ac:dyDescent="0.25">
      <c r="D142" s="3"/>
      <c r="F142" s="3"/>
    </row>
    <row r="143" spans="4:6" ht="35.1" customHeight="1" x14ac:dyDescent="0.25">
      <c r="D143" s="3"/>
      <c r="F143" s="3"/>
    </row>
    <row r="144" spans="4:6" ht="35.1" customHeight="1" x14ac:dyDescent="0.25">
      <c r="D144" s="3"/>
      <c r="F144" s="3"/>
    </row>
    <row r="145" spans="4:6" ht="35.1" customHeight="1" x14ac:dyDescent="0.25">
      <c r="D145" s="3"/>
      <c r="F145" s="3"/>
    </row>
    <row r="146" spans="4:6" ht="35.1" customHeight="1" x14ac:dyDescent="0.25">
      <c r="D146" s="3"/>
      <c r="F146" s="3"/>
    </row>
    <row r="147" spans="4:6" ht="35.1" customHeight="1" x14ac:dyDescent="0.25">
      <c r="D147" s="3"/>
      <c r="F147" s="3"/>
    </row>
    <row r="148" spans="4:6" ht="35.1" customHeight="1" x14ac:dyDescent="0.25">
      <c r="D148" s="3"/>
      <c r="F148" s="3"/>
    </row>
    <row r="149" spans="4:6" ht="35.1" customHeight="1" x14ac:dyDescent="0.25">
      <c r="D149" s="3"/>
      <c r="F149" s="3"/>
    </row>
    <row r="150" spans="4:6" ht="35.1" customHeight="1" x14ac:dyDescent="0.25">
      <c r="D150" s="3"/>
      <c r="F150" s="3"/>
    </row>
    <row r="151" spans="4:6" ht="35.1" customHeight="1" x14ac:dyDescent="0.25">
      <c r="D151" s="3"/>
      <c r="F151" s="3"/>
    </row>
    <row r="152" spans="4:6" ht="35.1" customHeight="1" x14ac:dyDescent="0.25">
      <c r="D152" s="3"/>
      <c r="F152" s="3"/>
    </row>
    <row r="153" spans="4:6" ht="35.1" customHeight="1" x14ac:dyDescent="0.25">
      <c r="D153" s="3"/>
      <c r="F153" s="3"/>
    </row>
    <row r="154" spans="4:6" ht="35.1" customHeight="1" x14ac:dyDescent="0.25">
      <c r="D154" s="3"/>
      <c r="F154" s="3"/>
    </row>
    <row r="155" spans="4:6" ht="35.1" customHeight="1" x14ac:dyDescent="0.25">
      <c r="D155" s="3"/>
      <c r="F155" s="3"/>
    </row>
    <row r="156" spans="4:6" ht="35.1" customHeight="1" x14ac:dyDescent="0.25">
      <c r="D156" s="3"/>
      <c r="F156" s="3"/>
    </row>
    <row r="157" spans="4:6" ht="35.1" customHeight="1" x14ac:dyDescent="0.25">
      <c r="D157" s="3"/>
      <c r="F157" s="3"/>
    </row>
    <row r="158" spans="4:6" ht="35.1" customHeight="1" x14ac:dyDescent="0.25">
      <c r="D158" s="3"/>
      <c r="F158" s="3"/>
    </row>
    <row r="159" spans="4:6" ht="35.1" customHeight="1" x14ac:dyDescent="0.25">
      <c r="D159" s="3"/>
      <c r="F159" s="3"/>
    </row>
    <row r="160" spans="4:6" ht="35.1" customHeight="1" x14ac:dyDescent="0.25">
      <c r="D160" s="3"/>
      <c r="F160" s="3"/>
    </row>
    <row r="161" spans="4:6" ht="35.1" customHeight="1" x14ac:dyDescent="0.25">
      <c r="D161" s="3"/>
      <c r="F161" s="3"/>
    </row>
  </sheetData>
  <mergeCells count="43">
    <mergeCell ref="E48:H48"/>
    <mergeCell ref="D52:D53"/>
    <mergeCell ref="C82:I82"/>
    <mergeCell ref="C56:I56"/>
    <mergeCell ref="C70:C72"/>
    <mergeCell ref="D70:D71"/>
    <mergeCell ref="C73:I73"/>
    <mergeCell ref="C76:C81"/>
    <mergeCell ref="D76:D80"/>
    <mergeCell ref="C61:I61"/>
    <mergeCell ref="C64:C66"/>
    <mergeCell ref="D64:D65"/>
    <mergeCell ref="C67:I67"/>
    <mergeCell ref="C59:C60"/>
    <mergeCell ref="D58:E58"/>
    <mergeCell ref="D63:E63"/>
    <mergeCell ref="D69:E69"/>
    <mergeCell ref="D75:E75"/>
    <mergeCell ref="C52:C55"/>
    <mergeCell ref="D51:E51"/>
    <mergeCell ref="C15:I15"/>
    <mergeCell ref="D18:D20"/>
    <mergeCell ref="D21:D23"/>
    <mergeCell ref="C26:I26"/>
    <mergeCell ref="C32:C38"/>
    <mergeCell ref="D32:D34"/>
    <mergeCell ref="D37:D38"/>
    <mergeCell ref="C18:C25"/>
    <mergeCell ref="E28:H28"/>
    <mergeCell ref="D17:E17"/>
    <mergeCell ref="D31:E31"/>
    <mergeCell ref="C39:I39"/>
    <mergeCell ref="C40:C45"/>
    <mergeCell ref="D40:D42"/>
    <mergeCell ref="D44:D45"/>
    <mergeCell ref="C46:I46"/>
    <mergeCell ref="D7:D9"/>
    <mergeCell ref="D11:D12"/>
    <mergeCell ref="B1:J1"/>
    <mergeCell ref="B2:J2"/>
    <mergeCell ref="D6:E6"/>
    <mergeCell ref="C7:C14"/>
    <mergeCell ref="E4:H4"/>
  </mergeCells>
  <hyperlinks>
    <hyperlink ref="K4" location="cover!A1" display="cover!A1" xr:uid="{00000000-0004-0000-0400-000000000000}"/>
  </hyperlinks>
  <printOptions horizontalCentered="1" verticalCentered="1"/>
  <pageMargins left="0" right="0.23622047244094491" top="0" bottom="0" header="0.31496062992125984" footer="0.31496062992125984"/>
  <pageSetup paperSize="9" scale="84" orientation="landscape" r:id="rId1"/>
  <headerFooter>
    <oddFooter>&amp;L&amp;P&amp;Cتحليل اسعار بنود الاعمال مشروع امواج &amp;R&amp;D</oddFooter>
  </headerFooter>
  <colBreaks count="1" manualBreakCount="1">
    <brk id="1" max="240" man="1"/>
  </colBreaks>
  <ignoredErrors>
    <ignoredError sqref="J54 J39"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79998168889431442"/>
    <pageSetUpPr fitToPage="1"/>
  </sheetPr>
  <dimension ref="A1:Y112"/>
  <sheetViews>
    <sheetView rightToLeft="1" zoomScale="40" zoomScaleNormal="40" zoomScaleSheetLayoutView="50" zoomScalePageLayoutView="40" workbookViewId="0">
      <pane xSplit="1" ySplit="2" topLeftCell="B3" activePane="bottomRight" state="frozen"/>
      <selection pane="topRight" activeCell="B1" sqref="B1"/>
      <selection pane="bottomLeft" activeCell="A4" sqref="A4"/>
      <selection pane="bottomRight" activeCell="G19" sqref="G19"/>
    </sheetView>
  </sheetViews>
  <sheetFormatPr defaultColWidth="9" defaultRowHeight="35.1" customHeight="1" x14ac:dyDescent="0.25"/>
  <cols>
    <col min="1" max="1" width="4.28515625" style="185" customWidth="1"/>
    <col min="2" max="2" width="6.28515625" style="188" customWidth="1"/>
    <col min="3" max="3" width="44" style="3" customWidth="1"/>
    <col min="4" max="4" width="22.5703125" style="447" customWidth="1"/>
    <col min="5" max="5" width="24.28515625" style="3" customWidth="1"/>
    <col min="6" max="6" width="13" style="445" customWidth="1"/>
    <col min="7" max="7" width="15.140625" style="445" customWidth="1"/>
    <col min="8" max="8" width="20.85546875" style="445" customWidth="1"/>
    <col min="9" max="9" width="16.42578125" style="445" customWidth="1"/>
    <col min="10" max="10" width="17.7109375" style="446" customWidth="1"/>
    <col min="11" max="11" width="16.85546875" style="3" customWidth="1"/>
    <col min="12" max="12" width="7.5703125" style="185" customWidth="1"/>
    <col min="13" max="13" width="13.85546875" style="185" customWidth="1"/>
    <col min="14" max="14" width="20.28515625" style="185" customWidth="1"/>
    <col min="15" max="15" width="20.5703125" style="185" customWidth="1"/>
    <col min="16" max="16" width="17" style="185" customWidth="1"/>
    <col min="17" max="17" width="11.7109375" style="185" customWidth="1"/>
    <col min="18" max="18" width="14.42578125" style="185" customWidth="1"/>
    <col min="19" max="20" width="11.7109375" style="185" customWidth="1"/>
    <col min="21" max="21" width="13.140625" style="185" customWidth="1"/>
    <col min="22" max="22" width="17.85546875" style="185" customWidth="1"/>
    <col min="23" max="23" width="13.140625" style="185" customWidth="1"/>
    <col min="24" max="16384" width="9" style="185"/>
  </cols>
  <sheetData>
    <row r="1" spans="1:23" s="157" customFormat="1" ht="36.75" x14ac:dyDescent="0.25">
      <c r="B1" s="995" t="str">
        <f>'خرسانة مسلحة'!B1:J1</f>
        <v>تحليل اسعار</v>
      </c>
      <c r="C1" s="995"/>
      <c r="D1" s="995"/>
      <c r="E1" s="995"/>
      <c r="F1" s="995"/>
      <c r="G1" s="995"/>
      <c r="H1" s="995"/>
      <c r="I1" s="995"/>
      <c r="J1" s="995"/>
      <c r="K1" s="1"/>
    </row>
    <row r="2" spans="1:23" ht="28.5" x14ac:dyDescent="0.25">
      <c r="B2" s="996" t="s">
        <v>186</v>
      </c>
      <c r="C2" s="996"/>
      <c r="D2" s="996"/>
      <c r="E2" s="996"/>
      <c r="F2" s="996"/>
      <c r="G2" s="996"/>
      <c r="H2" s="996"/>
      <c r="I2" s="996"/>
      <c r="J2" s="996"/>
    </row>
    <row r="3" spans="1:23" s="34" customFormat="1" ht="6" customHeight="1" x14ac:dyDescent="0.25">
      <c r="A3" s="185"/>
      <c r="B3" s="154"/>
      <c r="C3" s="460"/>
      <c r="D3" s="460"/>
      <c r="E3" s="460"/>
      <c r="F3" s="460"/>
      <c r="G3" s="460"/>
      <c r="H3" s="460"/>
      <c r="I3" s="460"/>
      <c r="J3" s="460"/>
      <c r="K3" s="3"/>
      <c r="L3" s="185"/>
    </row>
    <row r="4" spans="1:23" s="34" customFormat="1" ht="63" customHeight="1" x14ac:dyDescent="0.25">
      <c r="B4" s="1032" t="s">
        <v>1173</v>
      </c>
      <c r="C4" s="1032"/>
      <c r="D4" s="1032"/>
      <c r="E4" s="1032"/>
      <c r="F4" s="1032"/>
      <c r="G4" s="1032"/>
      <c r="H4" s="1032"/>
      <c r="I4" s="1032"/>
      <c r="J4" s="1032"/>
      <c r="K4" s="1032"/>
    </row>
    <row r="5" spans="1:23" s="34" customFormat="1" ht="21.75" customHeight="1" x14ac:dyDescent="0.25">
      <c r="A5" s="185"/>
      <c r="B5" s="188"/>
      <c r="C5" s="899"/>
      <c r="D5" s="899"/>
      <c r="E5" s="899"/>
      <c r="F5" s="899"/>
      <c r="G5" s="899"/>
      <c r="H5" s="899"/>
      <c r="I5" s="899"/>
      <c r="J5" s="899"/>
      <c r="K5" s="899"/>
      <c r="L5" s="185"/>
    </row>
    <row r="6" spans="1:23" s="34" customFormat="1" ht="69.75" customHeight="1" thickBot="1" x14ac:dyDescent="0.3">
      <c r="B6" s="186" t="s">
        <v>0</v>
      </c>
      <c r="C6" s="900" t="s">
        <v>1</v>
      </c>
      <c r="D6" s="1024" t="s">
        <v>2</v>
      </c>
      <c r="E6" s="1024"/>
      <c r="F6" s="900" t="s">
        <v>3</v>
      </c>
      <c r="G6" s="451" t="s">
        <v>1684</v>
      </c>
      <c r="H6" s="900" t="s">
        <v>5</v>
      </c>
      <c r="I6" s="900" t="s">
        <v>6</v>
      </c>
      <c r="J6" s="901" t="s">
        <v>7</v>
      </c>
      <c r="K6" s="899"/>
    </row>
    <row r="7" spans="1:23" ht="33" customHeight="1" thickBot="1" x14ac:dyDescent="0.3">
      <c r="B7" s="1026" t="s">
        <v>512</v>
      </c>
      <c r="C7" s="902" t="s">
        <v>46</v>
      </c>
      <c r="D7" s="1025" t="s">
        <v>14</v>
      </c>
      <c r="E7" s="903" t="s">
        <v>47</v>
      </c>
      <c r="F7" s="904" t="s">
        <v>48</v>
      </c>
      <c r="G7" s="904">
        <f>'اسعار الخامات'!E16</f>
        <v>480</v>
      </c>
      <c r="H7" s="904">
        <v>5.5E-2</v>
      </c>
      <c r="I7" s="905">
        <v>0.15</v>
      </c>
      <c r="J7" s="906">
        <f>H7*G7+(I7*H7*G7)</f>
        <v>30.36</v>
      </c>
      <c r="K7" s="898">
        <f>0.12-0.023</f>
        <v>9.7000000000000003E-2</v>
      </c>
      <c r="M7" s="1015" t="s">
        <v>567</v>
      </c>
      <c r="N7" s="1016"/>
      <c r="O7" s="1017"/>
      <c r="Q7" s="1015" t="s">
        <v>567</v>
      </c>
      <c r="R7" s="1016"/>
      <c r="S7" s="1017"/>
      <c r="U7" s="1015" t="s">
        <v>567</v>
      </c>
      <c r="V7" s="1016"/>
      <c r="W7" s="1017"/>
    </row>
    <row r="8" spans="1:23" ht="33" customHeight="1" thickBot="1" x14ac:dyDescent="0.3">
      <c r="B8" s="1027"/>
      <c r="C8" s="902" t="s">
        <v>626</v>
      </c>
      <c r="D8" s="1025"/>
      <c r="E8" s="903" t="s">
        <v>18</v>
      </c>
      <c r="F8" s="904" t="s">
        <v>19</v>
      </c>
      <c r="G8" s="907">
        <f>'اسعار الخامات'!E7</f>
        <v>650</v>
      </c>
      <c r="H8" s="908">
        <f>0.3/22</f>
        <v>1.3636363636363636E-2</v>
      </c>
      <c r="I8" s="905">
        <v>0.05</v>
      </c>
      <c r="J8" s="906">
        <f t="shared" ref="J8:J10" si="0">H8*G8+(I8*H8*G8)</f>
        <v>9.3068181818181817</v>
      </c>
      <c r="K8" s="898">
        <f>K7/(0.25*0.12*0.06)</f>
        <v>53.888888888888893</v>
      </c>
      <c r="M8" s="1018" t="s">
        <v>12</v>
      </c>
      <c r="N8" s="1019"/>
      <c r="O8" s="1020"/>
      <c r="Q8" s="1018" t="s">
        <v>568</v>
      </c>
      <c r="R8" s="1019"/>
      <c r="S8" s="1020"/>
      <c r="U8" s="1018" t="s">
        <v>569</v>
      </c>
      <c r="V8" s="1019"/>
      <c r="W8" s="1020"/>
    </row>
    <row r="9" spans="1:23" ht="33" customHeight="1" x14ac:dyDescent="0.25">
      <c r="B9" s="1027"/>
      <c r="C9" s="902"/>
      <c r="D9" s="1025"/>
      <c r="E9" s="903" t="s">
        <v>21</v>
      </c>
      <c r="F9" s="904" t="s">
        <v>12</v>
      </c>
      <c r="G9" s="904">
        <f>'اسعار الخامات'!E9</f>
        <v>35</v>
      </c>
      <c r="H9" s="908">
        <v>2.3E-2</v>
      </c>
      <c r="I9" s="905">
        <v>0.1</v>
      </c>
      <c r="J9" s="906">
        <f t="shared" si="0"/>
        <v>0.88549999999999995</v>
      </c>
      <c r="K9" s="899"/>
      <c r="M9" s="208" t="s">
        <v>561</v>
      </c>
      <c r="N9" s="208" t="s">
        <v>562</v>
      </c>
      <c r="O9" s="208" t="s">
        <v>563</v>
      </c>
      <c r="Q9" s="208" t="s">
        <v>561</v>
      </c>
      <c r="R9" s="208" t="s">
        <v>562</v>
      </c>
      <c r="S9" s="208" t="s">
        <v>563</v>
      </c>
      <c r="U9" s="206" t="s">
        <v>561</v>
      </c>
      <c r="V9" s="206" t="s">
        <v>562</v>
      </c>
      <c r="W9" s="206" t="s">
        <v>563</v>
      </c>
    </row>
    <row r="10" spans="1:23" ht="33" customHeight="1" x14ac:dyDescent="0.25">
      <c r="B10" s="1027"/>
      <c r="C10" s="902"/>
      <c r="D10" s="1025"/>
      <c r="E10" s="903" t="s">
        <v>15</v>
      </c>
      <c r="F10" s="904" t="s">
        <v>12</v>
      </c>
      <c r="G10" s="904">
        <f>'اسعار الخامات'!E12</f>
        <v>13</v>
      </c>
      <c r="H10" s="908">
        <v>2.3E-2</v>
      </c>
      <c r="I10" s="905">
        <v>0.1</v>
      </c>
      <c r="J10" s="906">
        <f t="shared" si="0"/>
        <v>0.32889999999999997</v>
      </c>
      <c r="K10" s="899"/>
      <c r="M10" s="204">
        <v>0.25</v>
      </c>
      <c r="N10" s="204">
        <v>0.01</v>
      </c>
      <c r="O10" s="204">
        <f>N10+M10</f>
        <v>0.26</v>
      </c>
      <c r="Q10" s="204">
        <v>0.25</v>
      </c>
      <c r="R10" s="204">
        <v>0.01</v>
      </c>
      <c r="S10" s="204">
        <f>R10+Q10</f>
        <v>0.26</v>
      </c>
      <c r="U10" s="204">
        <v>0.25</v>
      </c>
      <c r="V10" s="204">
        <v>0.01</v>
      </c>
      <c r="W10" s="204">
        <f>(V10/2)+U10</f>
        <v>0.255</v>
      </c>
    </row>
    <row r="11" spans="1:23" ht="33" customHeight="1" x14ac:dyDescent="0.25">
      <c r="B11" s="1027"/>
      <c r="C11" s="902"/>
      <c r="D11" s="1029" t="s">
        <v>1685</v>
      </c>
      <c r="E11" s="903" t="s">
        <v>50</v>
      </c>
      <c r="F11" s="904" t="s">
        <v>45</v>
      </c>
      <c r="G11" s="1030">
        <v>15</v>
      </c>
      <c r="H11" s="1030">
        <v>1</v>
      </c>
      <c r="I11" s="1030">
        <v>0</v>
      </c>
      <c r="J11" s="1031">
        <f>G11</f>
        <v>15</v>
      </c>
      <c r="K11" s="899"/>
      <c r="M11" s="204">
        <v>0.12</v>
      </c>
      <c r="N11" s="204">
        <v>0.01</v>
      </c>
      <c r="O11" s="204">
        <f>(N11/2)+M11</f>
        <v>0.125</v>
      </c>
      <c r="Q11" s="204">
        <v>0.12</v>
      </c>
      <c r="R11" s="204">
        <v>0.01</v>
      </c>
      <c r="S11" s="204">
        <f>(R11/2)+Q11</f>
        <v>0.125</v>
      </c>
      <c r="U11" s="204">
        <v>0.12</v>
      </c>
      <c r="V11" s="204">
        <v>0.01</v>
      </c>
      <c r="W11" s="204">
        <f>(V11)+U11</f>
        <v>0.13</v>
      </c>
    </row>
    <row r="12" spans="1:23" ht="33" customHeight="1" x14ac:dyDescent="0.25">
      <c r="B12" s="1027"/>
      <c r="C12" s="902"/>
      <c r="D12" s="1025"/>
      <c r="E12" s="903" t="s">
        <v>51</v>
      </c>
      <c r="F12" s="904" t="s">
        <v>45</v>
      </c>
      <c r="G12" s="1030"/>
      <c r="H12" s="1030"/>
      <c r="I12" s="1030"/>
      <c r="J12" s="1031"/>
      <c r="K12" s="899"/>
      <c r="M12" s="204">
        <v>0.06</v>
      </c>
      <c r="N12" s="204">
        <v>0.01</v>
      </c>
      <c r="O12" s="204">
        <f t="shared" ref="O12" si="1">N12+M12</f>
        <v>6.9999999999999993E-2</v>
      </c>
      <c r="Q12" s="204">
        <v>0.06</v>
      </c>
      <c r="R12" s="204">
        <v>0.01</v>
      </c>
      <c r="S12" s="204">
        <f t="shared" ref="S12" si="2">R12+Q12</f>
        <v>6.9999999999999993E-2</v>
      </c>
      <c r="U12" s="204">
        <v>0.06</v>
      </c>
      <c r="V12" s="204">
        <v>0.01</v>
      </c>
      <c r="W12" s="204">
        <f t="shared" ref="W12" si="3">V12+U12</f>
        <v>6.9999999999999993E-2</v>
      </c>
    </row>
    <row r="13" spans="1:23" ht="66" customHeight="1" thickBot="1" x14ac:dyDescent="0.3">
      <c r="B13" s="1028"/>
      <c r="C13" s="902"/>
      <c r="D13" s="903" t="s">
        <v>16</v>
      </c>
      <c r="E13" s="909" t="s">
        <v>193</v>
      </c>
      <c r="F13" s="904" t="s">
        <v>194</v>
      </c>
      <c r="G13" s="904">
        <v>0.5</v>
      </c>
      <c r="H13" s="904">
        <v>1</v>
      </c>
      <c r="I13" s="904">
        <v>0</v>
      </c>
      <c r="J13" s="906">
        <f>H13*G13</f>
        <v>0.5</v>
      </c>
      <c r="K13" s="899"/>
      <c r="M13" s="204"/>
      <c r="N13" s="207">
        <f>O10*O11*O12</f>
        <v>2.2749999999999997E-3</v>
      </c>
      <c r="O13" s="204"/>
      <c r="Q13" s="204"/>
      <c r="R13" s="207">
        <f>S10*S12</f>
        <v>1.8199999999999997E-2</v>
      </c>
      <c r="S13" s="204"/>
      <c r="U13" s="204"/>
      <c r="V13" s="207">
        <f>W12*W11</f>
        <v>9.0999999999999987E-3</v>
      </c>
      <c r="W13" s="204"/>
    </row>
    <row r="14" spans="1:23" ht="39.75" customHeight="1" x14ac:dyDescent="0.25">
      <c r="B14" s="1021" t="s">
        <v>13</v>
      </c>
      <c r="C14" s="1022"/>
      <c r="D14" s="1022"/>
      <c r="E14" s="1022"/>
      <c r="F14" s="1022"/>
      <c r="G14" s="1022"/>
      <c r="H14" s="1022"/>
      <c r="I14" s="1023"/>
      <c r="J14" s="893">
        <f>SUM(J7:J13)</f>
        <v>56.381218181818177</v>
      </c>
      <c r="K14" s="1033">
        <f>(J15-J14)/J14</f>
        <v>0.26371870452023527</v>
      </c>
      <c r="M14" s="205" t="s">
        <v>12</v>
      </c>
      <c r="N14" s="205">
        <f>1/N13</f>
        <v>439.56043956043965</v>
      </c>
      <c r="O14" s="205" t="s">
        <v>564</v>
      </c>
      <c r="Q14" s="205" t="s">
        <v>45</v>
      </c>
      <c r="R14" s="205">
        <f>1/R13</f>
        <v>54.945054945054956</v>
      </c>
      <c r="S14" s="205" t="s">
        <v>564</v>
      </c>
      <c r="U14" s="205" t="s">
        <v>45</v>
      </c>
      <c r="V14" s="205">
        <f>1/V13</f>
        <v>109.89010989010991</v>
      </c>
      <c r="W14" s="205" t="s">
        <v>564</v>
      </c>
    </row>
    <row r="15" spans="1:23" s="34" customFormat="1" ht="39.75" customHeight="1" thickBot="1" x14ac:dyDescent="0.3">
      <c r="A15" s="185"/>
      <c r="B15" s="1021" t="s">
        <v>1683</v>
      </c>
      <c r="C15" s="1022"/>
      <c r="D15" s="1022"/>
      <c r="E15" s="1022"/>
      <c r="F15" s="1022"/>
      <c r="G15" s="1022"/>
      <c r="H15" s="1022"/>
      <c r="I15" s="1023"/>
      <c r="J15" s="893">
        <v>71.25</v>
      </c>
      <c r="K15" s="1034"/>
      <c r="L15" s="185"/>
    </row>
    <row r="16" spans="1:23" s="34" customFormat="1" ht="39.75" customHeight="1" x14ac:dyDescent="0.25">
      <c r="A16" s="897"/>
      <c r="B16" s="897"/>
      <c r="C16" s="897"/>
      <c r="D16" s="897"/>
      <c r="E16" s="897"/>
      <c r="F16" s="897"/>
      <c r="G16" s="897"/>
      <c r="H16" s="897"/>
      <c r="I16" s="897"/>
      <c r="J16" s="897"/>
      <c r="K16" s="897"/>
      <c r="L16" s="185"/>
    </row>
    <row r="17" spans="1:25" s="34" customFormat="1" ht="21.75" customHeight="1" x14ac:dyDescent="0.25">
      <c r="A17" s="185"/>
      <c r="B17" s="185"/>
      <c r="C17" s="3"/>
      <c r="D17" s="3"/>
      <c r="E17" s="3"/>
      <c r="F17" s="3"/>
      <c r="G17" s="3"/>
      <c r="H17" s="3"/>
      <c r="I17" s="3"/>
      <c r="J17" s="3"/>
      <c r="K17" s="3"/>
      <c r="L17" s="185"/>
    </row>
    <row r="18" spans="1:25" s="34" customFormat="1" ht="69.75" customHeight="1" x14ac:dyDescent="0.25">
      <c r="B18" s="186" t="s">
        <v>0</v>
      </c>
      <c r="C18" s="414" t="s">
        <v>1</v>
      </c>
      <c r="D18" s="997" t="s">
        <v>2</v>
      </c>
      <c r="E18" s="997"/>
      <c r="F18" s="414" t="s">
        <v>3</v>
      </c>
      <c r="G18" s="451" t="s">
        <v>1684</v>
      </c>
      <c r="H18" s="414" t="s">
        <v>5</v>
      </c>
      <c r="I18" s="414" t="s">
        <v>6</v>
      </c>
      <c r="J18" s="415" t="s">
        <v>7</v>
      </c>
      <c r="K18" s="898">
        <f>0.1-0.023</f>
        <v>7.7000000000000013E-2</v>
      </c>
    </row>
    <row r="19" spans="1:25" ht="25.5" customHeight="1" x14ac:dyDescent="0.25">
      <c r="B19" s="1026" t="s">
        <v>513</v>
      </c>
      <c r="C19" s="895" t="s">
        <v>46</v>
      </c>
      <c r="D19" s="1003" t="s">
        <v>14</v>
      </c>
      <c r="E19" s="889" t="s">
        <v>47</v>
      </c>
      <c r="F19" s="890" t="s">
        <v>48</v>
      </c>
      <c r="G19" s="890">
        <f>'اسعار الخامات'!E15</f>
        <v>429</v>
      </c>
      <c r="H19" s="890">
        <v>6.5000000000000002E-2</v>
      </c>
      <c r="I19" s="420">
        <v>0.15</v>
      </c>
      <c r="J19" s="421">
        <f>H19*G19+(I19*H19*G19)</f>
        <v>32.067750000000004</v>
      </c>
      <c r="K19" s="898">
        <f>K18/(0.2*0.1*0.06)</f>
        <v>64.166666666666671</v>
      </c>
    </row>
    <row r="20" spans="1:25" ht="28.5" x14ac:dyDescent="0.25">
      <c r="B20" s="1027"/>
      <c r="C20" s="895" t="s">
        <v>440</v>
      </c>
      <c r="D20" s="1003"/>
      <c r="E20" s="889" t="s">
        <v>18</v>
      </c>
      <c r="F20" s="890" t="s">
        <v>19</v>
      </c>
      <c r="G20" s="454">
        <f>'اسعار الخامات'!E7</f>
        <v>650</v>
      </c>
      <c r="H20" s="423">
        <f>0.3/22</f>
        <v>1.3636363636363636E-2</v>
      </c>
      <c r="I20" s="420">
        <v>0.05</v>
      </c>
      <c r="J20" s="421">
        <f>H20*G20+(I20*H20*G20)</f>
        <v>9.3068181818181817</v>
      </c>
      <c r="K20" s="898"/>
    </row>
    <row r="21" spans="1:25" ht="28.5" x14ac:dyDescent="0.25">
      <c r="B21" s="1027"/>
      <c r="C21" s="895"/>
      <c r="D21" s="1003"/>
      <c r="E21" s="889" t="s">
        <v>21</v>
      </c>
      <c r="F21" s="890" t="s">
        <v>12</v>
      </c>
      <c r="G21" s="890">
        <f>'اسعار الخامات'!E9</f>
        <v>35</v>
      </c>
      <c r="H21" s="423">
        <v>2.3E-2</v>
      </c>
      <c r="I21" s="420">
        <v>0.1</v>
      </c>
      <c r="J21" s="421">
        <f>H21*G21+(I21*H21*G21)</f>
        <v>0.88549999999999995</v>
      </c>
      <c r="K21" s="899"/>
    </row>
    <row r="22" spans="1:25" ht="28.5" x14ac:dyDescent="0.25">
      <c r="B22" s="1027"/>
      <c r="C22" s="895"/>
      <c r="D22" s="1003"/>
      <c r="E22" s="889" t="s">
        <v>15</v>
      </c>
      <c r="F22" s="890" t="s">
        <v>12</v>
      </c>
      <c r="G22" s="890">
        <f>'اسعار الخامات'!E32</f>
        <v>12</v>
      </c>
      <c r="H22" s="423">
        <v>7.2999999999999995E-2</v>
      </c>
      <c r="I22" s="420">
        <v>0.1</v>
      </c>
      <c r="J22" s="421">
        <f>H22*G22+(I22*H22*G22)</f>
        <v>0.9635999999999999</v>
      </c>
      <c r="K22" s="899"/>
    </row>
    <row r="23" spans="1:25" ht="27.75" customHeight="1" x14ac:dyDescent="0.25">
      <c r="B23" s="1027"/>
      <c r="C23" s="895"/>
      <c r="D23" s="1029" t="s">
        <v>1685</v>
      </c>
      <c r="E23" s="889" t="s">
        <v>50</v>
      </c>
      <c r="F23" s="890" t="s">
        <v>45</v>
      </c>
      <c r="G23" s="1037">
        <v>15</v>
      </c>
      <c r="H23" s="1037">
        <v>1</v>
      </c>
      <c r="I23" s="1037">
        <v>0</v>
      </c>
      <c r="J23" s="1035">
        <f>H23*G23+(I23*H23*G23)</f>
        <v>15</v>
      </c>
      <c r="K23" s="899"/>
    </row>
    <row r="24" spans="1:25" ht="28.5" x14ac:dyDescent="0.25">
      <c r="B24" s="1027"/>
      <c r="C24" s="895"/>
      <c r="D24" s="1025"/>
      <c r="E24" s="889" t="s">
        <v>51</v>
      </c>
      <c r="F24" s="890" t="s">
        <v>45</v>
      </c>
      <c r="G24" s="1037"/>
      <c r="H24" s="1037"/>
      <c r="I24" s="1037"/>
      <c r="J24" s="1035"/>
    </row>
    <row r="25" spans="1:25" ht="57.75" thickBot="1" x14ac:dyDescent="0.3">
      <c r="B25" s="1028"/>
      <c r="C25" s="895"/>
      <c r="D25" s="889" t="s">
        <v>16</v>
      </c>
      <c r="E25" s="424" t="s">
        <v>193</v>
      </c>
      <c r="F25" s="890" t="s">
        <v>194</v>
      </c>
      <c r="G25" s="890">
        <v>0.5</v>
      </c>
      <c r="H25" s="890">
        <v>1</v>
      </c>
      <c r="I25" s="890">
        <v>0</v>
      </c>
      <c r="J25" s="421">
        <f>H25*G25</f>
        <v>0.5</v>
      </c>
    </row>
    <row r="26" spans="1:25" ht="55.5" customHeight="1" thickBot="1" x14ac:dyDescent="0.3">
      <c r="B26" s="466"/>
      <c r="C26" s="1036" t="s">
        <v>13</v>
      </c>
      <c r="D26" s="1036"/>
      <c r="E26" s="1036"/>
      <c r="F26" s="1036"/>
      <c r="G26" s="1036"/>
      <c r="H26" s="1036"/>
      <c r="I26" s="1036"/>
      <c r="J26" s="468">
        <f>SUM(J19:J25)</f>
        <v>58.723668181818184</v>
      </c>
      <c r="K26" s="1033">
        <f>(J27-J26)/J26</f>
        <v>0.21330976429126025</v>
      </c>
      <c r="M26" s="1015" t="s">
        <v>571</v>
      </c>
      <c r="N26" s="1016"/>
      <c r="O26" s="1017"/>
      <c r="Q26" s="1015" t="s">
        <v>571</v>
      </c>
      <c r="R26" s="1016"/>
      <c r="S26" s="1017"/>
      <c r="U26" s="1015" t="s">
        <v>571</v>
      </c>
      <c r="V26" s="1016"/>
      <c r="W26" s="1017"/>
    </row>
    <row r="27" spans="1:25" s="34" customFormat="1" ht="39.75" customHeight="1" thickBot="1" x14ac:dyDescent="0.3">
      <c r="A27" s="185"/>
      <c r="B27" s="1021" t="s">
        <v>1683</v>
      </c>
      <c r="C27" s="1022"/>
      <c r="D27" s="1022"/>
      <c r="E27" s="1022"/>
      <c r="F27" s="1022"/>
      <c r="G27" s="1022"/>
      <c r="H27" s="1022"/>
      <c r="I27" s="1023"/>
      <c r="J27" s="893">
        <v>71.25</v>
      </c>
      <c r="K27" s="1034"/>
      <c r="L27" s="185"/>
      <c r="M27" s="1018" t="s">
        <v>12</v>
      </c>
      <c r="N27" s="1019"/>
      <c r="O27" s="1020"/>
      <c r="P27" s="185"/>
      <c r="Q27" s="1018" t="s">
        <v>570</v>
      </c>
      <c r="R27" s="1019"/>
      <c r="S27" s="1020"/>
      <c r="T27" s="185"/>
      <c r="U27" s="1018" t="s">
        <v>574</v>
      </c>
      <c r="V27" s="1019"/>
      <c r="W27" s="1020"/>
      <c r="X27" s="185"/>
      <c r="Y27" s="185"/>
    </row>
    <row r="28" spans="1:25" ht="49.5" customHeight="1" x14ac:dyDescent="0.25">
      <c r="A28" s="3"/>
      <c r="B28" s="3"/>
      <c r="D28" s="3"/>
      <c r="F28" s="3"/>
      <c r="G28" s="3"/>
      <c r="H28" s="3"/>
      <c r="I28" s="3"/>
      <c r="J28" s="3"/>
      <c r="M28" s="206" t="s">
        <v>561</v>
      </c>
      <c r="N28" s="206" t="s">
        <v>562</v>
      </c>
      <c r="O28" s="206" t="s">
        <v>563</v>
      </c>
      <c r="Q28" s="206" t="s">
        <v>561</v>
      </c>
      <c r="R28" s="206" t="s">
        <v>562</v>
      </c>
      <c r="S28" s="206" t="s">
        <v>563</v>
      </c>
      <c r="U28" s="206" t="s">
        <v>561</v>
      </c>
      <c r="V28" s="206" t="s">
        <v>562</v>
      </c>
      <c r="W28" s="206" t="s">
        <v>563</v>
      </c>
    </row>
    <row r="29" spans="1:25" ht="64.5" customHeight="1" x14ac:dyDescent="0.25">
      <c r="B29" s="186" t="s">
        <v>0</v>
      </c>
      <c r="C29" s="414" t="s">
        <v>1</v>
      </c>
      <c r="D29" s="997" t="s">
        <v>2</v>
      </c>
      <c r="E29" s="997"/>
      <c r="F29" s="414" t="s">
        <v>3</v>
      </c>
      <c r="G29" s="451" t="s">
        <v>1684</v>
      </c>
      <c r="H29" s="414" t="s">
        <v>5</v>
      </c>
      <c r="I29" s="414" t="s">
        <v>6</v>
      </c>
      <c r="J29" s="415" t="s">
        <v>7</v>
      </c>
      <c r="K29" s="898">
        <f>1-0.25</f>
        <v>0.75</v>
      </c>
      <c r="M29" s="204">
        <v>0.2</v>
      </c>
      <c r="N29" s="204">
        <v>0.01</v>
      </c>
      <c r="O29" s="204">
        <f>N29+M29</f>
        <v>0.21000000000000002</v>
      </c>
      <c r="Q29" s="204">
        <v>0.2</v>
      </c>
      <c r="R29" s="204">
        <v>0.01</v>
      </c>
      <c r="S29" s="204">
        <f>R29+Q29</f>
        <v>0.21000000000000002</v>
      </c>
      <c r="U29" s="204">
        <v>0.2</v>
      </c>
      <c r="V29" s="204">
        <v>0.01</v>
      </c>
      <c r="W29" s="204">
        <f>(V29/2)+U29</f>
        <v>0.20500000000000002</v>
      </c>
    </row>
    <row r="30" spans="1:25" ht="28.5" x14ac:dyDescent="0.25">
      <c r="B30" s="1026" t="s">
        <v>514</v>
      </c>
      <c r="C30" s="452" t="s">
        <v>52</v>
      </c>
      <c r="D30" s="1003" t="s">
        <v>14</v>
      </c>
      <c r="E30" s="889" t="s">
        <v>47</v>
      </c>
      <c r="F30" s="890" t="s">
        <v>48</v>
      </c>
      <c r="G30" s="890">
        <f>'اسعار الخامات'!E15</f>
        <v>429</v>
      </c>
      <c r="H30" s="423">
        <f>0.75/(0.2*0.1*0.06)/1000</f>
        <v>0.62499999999999989</v>
      </c>
      <c r="I30" s="420">
        <v>0.15</v>
      </c>
      <c r="J30" s="431">
        <f>H30*G30+(I30*H30*G30)</f>
        <v>308.34374999999994</v>
      </c>
      <c r="K30" s="898">
        <f>K29/(0.2*0.1*0.06)</f>
        <v>624.99999999999989</v>
      </c>
      <c r="M30" s="204">
        <v>0.1</v>
      </c>
      <c r="N30" s="204">
        <v>0.01</v>
      </c>
      <c r="O30" s="204">
        <f>(N30/2)+M30</f>
        <v>0.10500000000000001</v>
      </c>
      <c r="Q30" s="204">
        <v>0.1</v>
      </c>
      <c r="R30" s="204">
        <v>0.01</v>
      </c>
      <c r="S30" s="204">
        <f>(R30/2)+Q30</f>
        <v>0.10500000000000001</v>
      </c>
      <c r="U30" s="204">
        <v>0.1</v>
      </c>
      <c r="V30" s="204">
        <v>0.01</v>
      </c>
      <c r="W30" s="204">
        <f>V30+U30</f>
        <v>0.11</v>
      </c>
    </row>
    <row r="31" spans="1:25" ht="28.5" x14ac:dyDescent="0.25">
      <c r="B31" s="1027"/>
      <c r="C31" s="452" t="s">
        <v>439</v>
      </c>
      <c r="D31" s="1003"/>
      <c r="E31" s="889" t="s">
        <v>18</v>
      </c>
      <c r="F31" s="890" t="s">
        <v>19</v>
      </c>
      <c r="G31" s="418">
        <f>'اسعار الخامات'!E7</f>
        <v>650</v>
      </c>
      <c r="H31" s="423">
        <f>0.3/4</f>
        <v>7.4999999999999997E-2</v>
      </c>
      <c r="I31" s="420">
        <v>0.05</v>
      </c>
      <c r="J31" s="882">
        <f t="shared" ref="J31:J36" si="4">H31*G31+(I31*H31*G31)</f>
        <v>51.1875</v>
      </c>
      <c r="M31" s="204">
        <v>0.06</v>
      </c>
      <c r="N31" s="204">
        <v>0.01</v>
      </c>
      <c r="O31" s="204">
        <f t="shared" ref="O31" si="5">N31+M31</f>
        <v>6.9999999999999993E-2</v>
      </c>
      <c r="Q31" s="204">
        <v>0.06</v>
      </c>
      <c r="R31" s="204">
        <v>0.01</v>
      </c>
      <c r="S31" s="204">
        <f t="shared" ref="S31" si="6">R31+Q31</f>
        <v>6.9999999999999993E-2</v>
      </c>
      <c r="U31" s="204">
        <v>0.06</v>
      </c>
      <c r="V31" s="204">
        <v>0.01</v>
      </c>
      <c r="W31" s="204">
        <f>V31+U31</f>
        <v>6.9999999999999993E-2</v>
      </c>
    </row>
    <row r="32" spans="1:25" ht="28.5" x14ac:dyDescent="0.25">
      <c r="B32" s="1027"/>
      <c r="C32" s="452"/>
      <c r="D32" s="1003"/>
      <c r="E32" s="889" t="s">
        <v>21</v>
      </c>
      <c r="F32" s="890" t="s">
        <v>12</v>
      </c>
      <c r="G32" s="890">
        <f>'اسعار الخامات'!E9</f>
        <v>35</v>
      </c>
      <c r="H32" s="896">
        <f>1/4</f>
        <v>0.25</v>
      </c>
      <c r="I32" s="420">
        <v>0.1</v>
      </c>
      <c r="J32" s="882">
        <f t="shared" si="4"/>
        <v>9.625</v>
      </c>
      <c r="M32" s="204"/>
      <c r="N32" s="207">
        <f>O29*O30*O31</f>
        <v>1.5435000000000002E-3</v>
      </c>
      <c r="O32" s="204"/>
      <c r="Q32" s="204"/>
      <c r="R32" s="207">
        <f>S29*S31</f>
        <v>1.47E-2</v>
      </c>
      <c r="S32" s="204"/>
      <c r="U32" s="204"/>
      <c r="V32" s="207">
        <f>W30*W31</f>
        <v>7.6999999999999994E-3</v>
      </c>
      <c r="W32" s="204"/>
      <c r="X32" s="34"/>
      <c r="Y32" s="34"/>
    </row>
    <row r="33" spans="1:25" ht="28.5" x14ac:dyDescent="0.25">
      <c r="B33" s="1027"/>
      <c r="C33" s="452"/>
      <c r="D33" s="1003"/>
      <c r="E33" s="889" t="s">
        <v>15</v>
      </c>
      <c r="F33" s="890" t="s">
        <v>12</v>
      </c>
      <c r="G33" s="890">
        <f>'اسعار الخامات'!E12</f>
        <v>13</v>
      </c>
      <c r="H33" s="890">
        <v>0.23</v>
      </c>
      <c r="I33" s="420">
        <v>0.1</v>
      </c>
      <c r="J33" s="882">
        <f t="shared" si="4"/>
        <v>3.2890000000000001</v>
      </c>
      <c r="M33" s="205" t="s">
        <v>12</v>
      </c>
      <c r="N33" s="205">
        <f>1/N32</f>
        <v>647.87819889860702</v>
      </c>
      <c r="O33" s="205" t="s">
        <v>564</v>
      </c>
      <c r="Q33" s="205" t="s">
        <v>45</v>
      </c>
      <c r="R33" s="205">
        <f>1/R32</f>
        <v>68.02721088435375</v>
      </c>
      <c r="S33" s="205" t="s">
        <v>564</v>
      </c>
      <c r="U33" s="205" t="s">
        <v>45</v>
      </c>
      <c r="V33" s="205">
        <f>1/V32</f>
        <v>129.87012987012989</v>
      </c>
      <c r="W33" s="205" t="s">
        <v>564</v>
      </c>
      <c r="X33" s="34"/>
      <c r="Y33" s="34"/>
    </row>
    <row r="34" spans="1:25" ht="28.5" x14ac:dyDescent="0.25">
      <c r="B34" s="1027"/>
      <c r="C34" s="452"/>
      <c r="D34" s="1029" t="s">
        <v>1685</v>
      </c>
      <c r="E34" s="427" t="s">
        <v>50</v>
      </c>
      <c r="F34" s="428" t="s">
        <v>12</v>
      </c>
      <c r="G34" s="1050">
        <v>140</v>
      </c>
      <c r="H34" s="1050">
        <v>1</v>
      </c>
      <c r="I34" s="1050">
        <v>0</v>
      </c>
      <c r="J34" s="1051">
        <f t="shared" si="4"/>
        <v>140</v>
      </c>
    </row>
    <row r="35" spans="1:25" ht="28.5" x14ac:dyDescent="0.25">
      <c r="B35" s="1027"/>
      <c r="C35" s="452"/>
      <c r="D35" s="1025"/>
      <c r="E35" s="427" t="s">
        <v>51</v>
      </c>
      <c r="F35" s="428" t="s">
        <v>12</v>
      </c>
      <c r="G35" s="1050"/>
      <c r="H35" s="1050"/>
      <c r="I35" s="1050"/>
      <c r="J35" s="1052"/>
    </row>
    <row r="36" spans="1:25" ht="57.75" thickBot="1" x14ac:dyDescent="0.3">
      <c r="B36" s="1028"/>
      <c r="C36" s="452"/>
      <c r="D36" s="427" t="s">
        <v>16</v>
      </c>
      <c r="E36" s="432" t="s">
        <v>193</v>
      </c>
      <c r="F36" s="428" t="s">
        <v>12</v>
      </c>
      <c r="G36" s="428">
        <v>1</v>
      </c>
      <c r="H36" s="428">
        <v>1</v>
      </c>
      <c r="I36" s="428">
        <v>0</v>
      </c>
      <c r="J36" s="882">
        <f t="shared" si="4"/>
        <v>1</v>
      </c>
    </row>
    <row r="37" spans="1:25" ht="49.5" customHeight="1" thickBot="1" x14ac:dyDescent="0.3">
      <c r="B37" s="466"/>
      <c r="C37" s="1036" t="s">
        <v>13</v>
      </c>
      <c r="D37" s="1036"/>
      <c r="E37" s="1036"/>
      <c r="F37" s="1036"/>
      <c r="G37" s="1036"/>
      <c r="H37" s="1036"/>
      <c r="I37" s="1036"/>
      <c r="J37" s="892">
        <f>SUM(J30:J36)</f>
        <v>513.44524999999999</v>
      </c>
      <c r="K37" s="1046">
        <f>(J38-J37)/J37</f>
        <v>0.2026598746409671</v>
      </c>
    </row>
    <row r="38" spans="1:25" s="34" customFormat="1" ht="39.75" customHeight="1" thickBot="1" x14ac:dyDescent="0.3">
      <c r="A38" s="185"/>
      <c r="B38" s="1021" t="s">
        <v>1683</v>
      </c>
      <c r="C38" s="1022"/>
      <c r="D38" s="1022"/>
      <c r="E38" s="1022"/>
      <c r="F38" s="1022"/>
      <c r="G38" s="1022"/>
      <c r="H38" s="1022"/>
      <c r="I38" s="1023"/>
      <c r="J38" s="893">
        <v>617.5</v>
      </c>
      <c r="K38" s="1047"/>
      <c r="L38" s="185"/>
      <c r="M38" s="1015" t="s">
        <v>572</v>
      </c>
      <c r="N38" s="1016"/>
      <c r="O38" s="1017"/>
      <c r="P38" s="185"/>
      <c r="Q38" s="1015" t="s">
        <v>573</v>
      </c>
      <c r="R38" s="1016"/>
      <c r="S38" s="1017"/>
      <c r="T38" s="185"/>
      <c r="U38" s="185"/>
      <c r="V38" s="185"/>
      <c r="W38" s="185"/>
      <c r="X38" s="185"/>
      <c r="Y38" s="185"/>
    </row>
    <row r="39" spans="1:25" ht="42" customHeight="1" thickBot="1" x14ac:dyDescent="0.3">
      <c r="B39" s="185"/>
      <c r="C39" s="185"/>
      <c r="D39" s="185"/>
      <c r="E39" s="185"/>
      <c r="F39" s="185"/>
      <c r="G39" s="185"/>
      <c r="H39" s="185"/>
      <c r="I39" s="185"/>
      <c r="J39" s="185"/>
      <c r="K39" s="894"/>
      <c r="M39" s="1018" t="s">
        <v>569</v>
      </c>
      <c r="N39" s="1019"/>
      <c r="O39" s="1020"/>
      <c r="Q39" s="1018" t="s">
        <v>568</v>
      </c>
      <c r="R39" s="1019"/>
      <c r="S39" s="1020"/>
    </row>
    <row r="40" spans="1:25" ht="55.5" customHeight="1" x14ac:dyDescent="0.25">
      <c r="B40" s="186" t="s">
        <v>0</v>
      </c>
      <c r="C40" s="414" t="s">
        <v>1</v>
      </c>
      <c r="D40" s="997" t="s">
        <v>2</v>
      </c>
      <c r="E40" s="997"/>
      <c r="F40" s="414" t="s">
        <v>3</v>
      </c>
      <c r="G40" s="451" t="s">
        <v>1684</v>
      </c>
      <c r="H40" s="414" t="s">
        <v>5</v>
      </c>
      <c r="I40" s="414" t="s">
        <v>6</v>
      </c>
      <c r="J40" s="415" t="s">
        <v>7</v>
      </c>
      <c r="K40" s="898">
        <f>1-0.25</f>
        <v>0.75</v>
      </c>
      <c r="M40" s="206" t="s">
        <v>561</v>
      </c>
      <c r="N40" s="206" t="s">
        <v>562</v>
      </c>
      <c r="O40" s="206" t="s">
        <v>563</v>
      </c>
      <c r="Q40" s="206" t="s">
        <v>561</v>
      </c>
      <c r="R40" s="206" t="s">
        <v>562</v>
      </c>
      <c r="S40" s="206" t="s">
        <v>563</v>
      </c>
    </row>
    <row r="41" spans="1:25" ht="40.5" customHeight="1" x14ac:dyDescent="0.25">
      <c r="B41" s="1026" t="s">
        <v>515</v>
      </c>
      <c r="C41" s="895" t="s">
        <v>52</v>
      </c>
      <c r="D41" s="1003" t="s">
        <v>14</v>
      </c>
      <c r="E41" s="889" t="s">
        <v>47</v>
      </c>
      <c r="F41" s="890" t="s">
        <v>48</v>
      </c>
      <c r="G41" s="890">
        <f>'اسعار الخامات'!E16</f>
        <v>480</v>
      </c>
      <c r="H41" s="423">
        <f>0.75/(0.25*0.12*0.06)/1000</f>
        <v>0.41666666666666669</v>
      </c>
      <c r="I41" s="441">
        <v>0.15</v>
      </c>
      <c r="J41" s="437">
        <f>H41*G41+(I41*H41*G41)</f>
        <v>230</v>
      </c>
      <c r="K41" s="898">
        <f>K40/(0.25*0.12*0.06)</f>
        <v>416.66666666666669</v>
      </c>
      <c r="M41" s="204">
        <v>0.4</v>
      </c>
      <c r="N41" s="204">
        <v>0.01</v>
      </c>
      <c r="O41" s="204">
        <f>N41+M41</f>
        <v>0.41000000000000003</v>
      </c>
      <c r="Q41" s="204">
        <v>0.4</v>
      </c>
      <c r="R41" s="204">
        <v>0.01</v>
      </c>
      <c r="S41" s="204">
        <f>R41+Q41</f>
        <v>0.41000000000000003</v>
      </c>
    </row>
    <row r="42" spans="1:25" ht="40.5" customHeight="1" x14ac:dyDescent="0.25">
      <c r="B42" s="1027"/>
      <c r="C42" s="895" t="s">
        <v>1682</v>
      </c>
      <c r="D42" s="1003"/>
      <c r="E42" s="889" t="s">
        <v>18</v>
      </c>
      <c r="F42" s="890" t="s">
        <v>19</v>
      </c>
      <c r="G42" s="418">
        <f>'اسعار الخامات'!E7</f>
        <v>650</v>
      </c>
      <c r="H42" s="423">
        <f>0.3/4</f>
        <v>7.4999999999999997E-2</v>
      </c>
      <c r="I42" s="441">
        <v>0.05</v>
      </c>
      <c r="J42" s="891">
        <f t="shared" ref="J42:J44" si="7">H42*G42+(I42*H42*G42)</f>
        <v>51.1875</v>
      </c>
      <c r="K42" s="185"/>
      <c r="M42" s="34"/>
      <c r="N42" s="34"/>
      <c r="O42" s="34"/>
      <c r="P42" s="34"/>
      <c r="Q42" s="34"/>
      <c r="R42" s="34"/>
      <c r="S42" s="34"/>
      <c r="T42" s="34"/>
      <c r="U42" s="34"/>
      <c r="V42" s="34"/>
      <c r="W42" s="34"/>
      <c r="X42" s="34"/>
      <c r="Y42" s="34"/>
    </row>
    <row r="43" spans="1:25" ht="40.5" customHeight="1" x14ac:dyDescent="0.25">
      <c r="B43" s="1027"/>
      <c r="C43" s="895"/>
      <c r="D43" s="1003"/>
      <c r="E43" s="889" t="s">
        <v>21</v>
      </c>
      <c r="F43" s="890" t="s">
        <v>12</v>
      </c>
      <c r="G43" s="890">
        <f>'اسعار الخامات'!E9</f>
        <v>35</v>
      </c>
      <c r="H43" s="896">
        <f>1/4</f>
        <v>0.25</v>
      </c>
      <c r="I43" s="441">
        <v>0.1</v>
      </c>
      <c r="J43" s="891">
        <f t="shared" si="7"/>
        <v>9.625</v>
      </c>
      <c r="K43" s="185"/>
      <c r="M43" s="204">
        <v>0.2</v>
      </c>
      <c r="N43" s="204">
        <v>0.01</v>
      </c>
      <c r="O43" s="204">
        <f>N43+M43</f>
        <v>0.21000000000000002</v>
      </c>
      <c r="Q43" s="204">
        <v>0.2</v>
      </c>
      <c r="R43" s="204">
        <v>0.01</v>
      </c>
      <c r="S43" s="204">
        <f>R43+Q43</f>
        <v>0.21000000000000002</v>
      </c>
    </row>
    <row r="44" spans="1:25" ht="40.5" customHeight="1" x14ac:dyDescent="0.25">
      <c r="B44" s="1027"/>
      <c r="C44" s="895"/>
      <c r="D44" s="1003"/>
      <c r="E44" s="889" t="s">
        <v>15</v>
      </c>
      <c r="F44" s="890" t="s">
        <v>12</v>
      </c>
      <c r="G44" s="890">
        <f>'اسعار الخامات'!E12</f>
        <v>13</v>
      </c>
      <c r="H44" s="890">
        <v>0.23</v>
      </c>
      <c r="I44" s="441">
        <v>0.1</v>
      </c>
      <c r="J44" s="891">
        <f t="shared" si="7"/>
        <v>3.2890000000000001</v>
      </c>
      <c r="K44" s="185"/>
      <c r="M44" s="204">
        <v>0.25</v>
      </c>
      <c r="N44" s="204">
        <v>0.01</v>
      </c>
      <c r="O44" s="204">
        <f>(N44/2)+M44</f>
        <v>0.255</v>
      </c>
      <c r="Q44" s="204">
        <v>0.12</v>
      </c>
      <c r="R44" s="204">
        <v>0.01</v>
      </c>
      <c r="S44" s="204">
        <f>(R44/2)+Q44</f>
        <v>0.125</v>
      </c>
    </row>
    <row r="45" spans="1:25" ht="40.5" customHeight="1" x14ac:dyDescent="0.25">
      <c r="B45" s="1027"/>
      <c r="C45" s="895"/>
      <c r="D45" s="1029" t="s">
        <v>1685</v>
      </c>
      <c r="E45" s="889" t="s">
        <v>50</v>
      </c>
      <c r="F45" s="890" t="s">
        <v>12</v>
      </c>
      <c r="G45" s="1037">
        <v>125</v>
      </c>
      <c r="H45" s="1037">
        <v>1</v>
      </c>
      <c r="I45" s="1038">
        <v>0</v>
      </c>
      <c r="J45" s="1048">
        <f t="shared" ref="J45:J47" si="8">H45*G45+(I45*H45*G45)</f>
        <v>125</v>
      </c>
      <c r="K45" s="185"/>
      <c r="M45" s="204" t="s">
        <v>565</v>
      </c>
      <c r="N45" s="207">
        <f>O43*O41*O44</f>
        <v>2.1955500000000003E-2</v>
      </c>
      <c r="O45" s="204"/>
      <c r="Q45" s="204" t="s">
        <v>566</v>
      </c>
      <c r="R45" s="207">
        <f>S43*S41*S44</f>
        <v>1.0762500000000001E-2</v>
      </c>
      <c r="S45" s="204"/>
    </row>
    <row r="46" spans="1:25" ht="40.5" customHeight="1" x14ac:dyDescent="0.25">
      <c r="B46" s="1027"/>
      <c r="C46" s="895"/>
      <c r="D46" s="1025"/>
      <c r="E46" s="889" t="s">
        <v>51</v>
      </c>
      <c r="F46" s="890" t="s">
        <v>12</v>
      </c>
      <c r="G46" s="1037"/>
      <c r="H46" s="1037"/>
      <c r="I46" s="1038"/>
      <c r="J46" s="1049"/>
      <c r="K46" s="185"/>
      <c r="M46" s="205" t="s">
        <v>12</v>
      </c>
      <c r="N46" s="205">
        <f>1/N45</f>
        <v>45.546673954134491</v>
      </c>
      <c r="O46" s="205" t="s">
        <v>564</v>
      </c>
      <c r="Q46" s="205" t="s">
        <v>12</v>
      </c>
      <c r="R46" s="205">
        <f>1/R45</f>
        <v>92.915214866434368</v>
      </c>
      <c r="S46" s="205" t="s">
        <v>564</v>
      </c>
    </row>
    <row r="47" spans="1:25" ht="64.5" customHeight="1" thickBot="1" x14ac:dyDescent="0.3">
      <c r="B47" s="1028"/>
      <c r="C47" s="453"/>
      <c r="D47" s="416" t="s">
        <v>16</v>
      </c>
      <c r="E47" s="455" t="s">
        <v>193</v>
      </c>
      <c r="F47" s="434" t="s">
        <v>12</v>
      </c>
      <c r="G47" s="417">
        <v>1</v>
      </c>
      <c r="H47" s="434">
        <v>1</v>
      </c>
      <c r="I47" s="434">
        <v>0</v>
      </c>
      <c r="J47" s="880">
        <f t="shared" si="8"/>
        <v>1</v>
      </c>
      <c r="M47" s="205" t="s">
        <v>45</v>
      </c>
      <c r="N47" s="205">
        <f>N46*O44</f>
        <v>11.614401858304296</v>
      </c>
      <c r="O47" s="205" t="s">
        <v>564</v>
      </c>
      <c r="Q47" s="205" t="s">
        <v>45</v>
      </c>
      <c r="R47" s="205">
        <f>R46*S44</f>
        <v>11.614401858304296</v>
      </c>
      <c r="S47" s="205" t="s">
        <v>564</v>
      </c>
    </row>
    <row r="48" spans="1:25" ht="39.75" customHeight="1" x14ac:dyDescent="0.25">
      <c r="B48" s="466"/>
      <c r="C48" s="1021" t="s">
        <v>13</v>
      </c>
      <c r="D48" s="1022"/>
      <c r="E48" s="1022"/>
      <c r="F48" s="1022"/>
      <c r="G48" s="1022"/>
      <c r="H48" s="1022"/>
      <c r="I48" s="1022"/>
      <c r="J48" s="893">
        <f>SUM(J41:J47)</f>
        <v>420.10149999999999</v>
      </c>
      <c r="K48" s="1033">
        <f>(J49-J48)/J48</f>
        <v>0.46988287354365554</v>
      </c>
    </row>
    <row r="49" spans="1:16" s="34" customFormat="1" ht="39.75" customHeight="1" thickBot="1" x14ac:dyDescent="0.3">
      <c r="A49" s="185"/>
      <c r="B49" s="1021" t="s">
        <v>1683</v>
      </c>
      <c r="C49" s="1022"/>
      <c r="D49" s="1022"/>
      <c r="E49" s="1022"/>
      <c r="F49" s="1022"/>
      <c r="G49" s="1022"/>
      <c r="H49" s="1022"/>
      <c r="I49" s="1023"/>
      <c r="J49" s="893">
        <v>617.5</v>
      </c>
      <c r="K49" s="1034"/>
      <c r="L49" s="185"/>
    </row>
    <row r="50" spans="1:16" ht="35.1" customHeight="1" thickBot="1" x14ac:dyDescent="0.3">
      <c r="B50" s="185"/>
      <c r="D50" s="3"/>
      <c r="F50" s="3"/>
      <c r="G50" s="3"/>
      <c r="H50" s="3"/>
      <c r="I50" s="3"/>
      <c r="J50" s="3"/>
    </row>
    <row r="51" spans="1:16" ht="35.1" customHeight="1" thickBot="1" x14ac:dyDescent="0.3">
      <c r="B51" s="185"/>
      <c r="D51" s="456"/>
      <c r="E51" s="457"/>
      <c r="F51" s="457"/>
      <c r="G51" s="457"/>
      <c r="H51" s="457"/>
      <c r="I51" s="457"/>
      <c r="J51" s="457"/>
      <c r="K51" s="458"/>
    </row>
    <row r="52" spans="1:16" ht="48" customHeight="1" x14ac:dyDescent="0.25">
      <c r="B52" s="185"/>
      <c r="D52" s="459"/>
      <c r="E52" s="460"/>
      <c r="F52" s="460"/>
      <c r="G52" s="460"/>
      <c r="H52" s="460"/>
      <c r="I52" s="460"/>
      <c r="J52" s="460"/>
      <c r="K52" s="461"/>
      <c r="N52" s="1039" t="s">
        <v>941</v>
      </c>
      <c r="O52" s="1040"/>
      <c r="P52" s="1041"/>
    </row>
    <row r="53" spans="1:16" ht="35.1" customHeight="1" x14ac:dyDescent="0.25">
      <c r="B53" s="185"/>
      <c r="D53" s="459"/>
      <c r="E53" s="460"/>
      <c r="F53" s="460"/>
      <c r="G53" s="460"/>
      <c r="H53" s="460"/>
      <c r="I53" s="460"/>
      <c r="J53" s="460"/>
      <c r="K53" s="461"/>
      <c r="N53" s="1042" t="s">
        <v>942</v>
      </c>
      <c r="O53" s="1043"/>
      <c r="P53" s="793">
        <v>45</v>
      </c>
    </row>
    <row r="54" spans="1:16" ht="35.1" customHeight="1" x14ac:dyDescent="0.25">
      <c r="B54" s="185"/>
      <c r="D54" s="459"/>
      <c r="E54" s="460"/>
      <c r="F54" s="460"/>
      <c r="G54" s="460"/>
      <c r="H54" s="460"/>
      <c r="I54" s="460"/>
      <c r="J54" s="460"/>
      <c r="K54" s="461"/>
      <c r="N54" s="1042" t="s">
        <v>943</v>
      </c>
      <c r="O54" s="1043"/>
      <c r="P54" s="793">
        <v>55</v>
      </c>
    </row>
    <row r="55" spans="1:16" ht="63" customHeight="1" thickBot="1" x14ac:dyDescent="0.3">
      <c r="B55" s="185"/>
      <c r="D55" s="459"/>
      <c r="E55" s="460"/>
      <c r="F55" s="460"/>
      <c r="G55" s="460"/>
      <c r="H55" s="460"/>
      <c r="I55" s="460"/>
      <c r="J55" s="460"/>
      <c r="K55" s="461"/>
      <c r="N55" s="1044" t="s">
        <v>944</v>
      </c>
      <c r="O55" s="1045"/>
      <c r="P55" s="794">
        <v>420</v>
      </c>
    </row>
    <row r="56" spans="1:16" ht="35.1" customHeight="1" x14ac:dyDescent="0.25">
      <c r="B56" s="185"/>
      <c r="D56" s="459"/>
      <c r="E56" s="460" t="s">
        <v>618</v>
      </c>
      <c r="F56" s="460"/>
      <c r="G56" s="460"/>
      <c r="H56" s="460"/>
      <c r="I56" s="460"/>
      <c r="J56" s="460"/>
      <c r="K56" s="461"/>
    </row>
    <row r="57" spans="1:16" ht="35.1" customHeight="1" thickBot="1" x14ac:dyDescent="0.5">
      <c r="B57" s="185"/>
      <c r="D57" s="462"/>
      <c r="E57" s="463" t="s">
        <v>617</v>
      </c>
      <c r="F57" s="464"/>
      <c r="G57" s="464"/>
      <c r="H57" s="464"/>
      <c r="I57" s="464"/>
      <c r="J57" s="464"/>
      <c r="K57" s="465"/>
    </row>
    <row r="58" spans="1:16" ht="35.1" customHeight="1" thickBot="1" x14ac:dyDescent="0.3">
      <c r="B58" s="185"/>
      <c r="D58" s="3"/>
      <c r="F58" s="3"/>
      <c r="G58" s="3"/>
      <c r="H58" s="3"/>
      <c r="I58" s="3"/>
      <c r="J58" s="3"/>
    </row>
    <row r="59" spans="1:16" ht="35.1" customHeight="1" x14ac:dyDescent="0.25">
      <c r="B59" s="185"/>
      <c r="D59" s="456"/>
      <c r="E59" s="457"/>
      <c r="F59" s="457"/>
      <c r="G59" s="457"/>
      <c r="H59" s="457"/>
      <c r="I59" s="457"/>
      <c r="J59" s="457"/>
      <c r="K59" s="458"/>
    </row>
    <row r="60" spans="1:16" ht="35.1" customHeight="1" x14ac:dyDescent="0.25">
      <c r="B60" s="185"/>
      <c r="D60" s="459"/>
      <c r="E60" s="460"/>
      <c r="F60" s="460"/>
      <c r="G60" s="460"/>
      <c r="H60" s="460"/>
      <c r="I60" s="460"/>
      <c r="J60" s="460"/>
      <c r="K60" s="461"/>
    </row>
    <row r="61" spans="1:16" ht="35.1" customHeight="1" x14ac:dyDescent="0.25">
      <c r="B61" s="185"/>
      <c r="D61" s="459"/>
      <c r="E61" s="460"/>
      <c r="F61" s="460"/>
      <c r="G61" s="460"/>
      <c r="H61" s="460"/>
      <c r="I61" s="460"/>
      <c r="J61" s="460"/>
      <c r="K61" s="461"/>
    </row>
    <row r="62" spans="1:16" ht="35.1" customHeight="1" x14ac:dyDescent="0.25">
      <c r="B62" s="185"/>
      <c r="D62" s="459"/>
      <c r="E62" s="460"/>
      <c r="F62" s="460"/>
      <c r="G62" s="460"/>
      <c r="H62" s="460"/>
      <c r="I62" s="460"/>
      <c r="J62" s="460"/>
      <c r="K62" s="461"/>
    </row>
    <row r="63" spans="1:16" ht="35.1" customHeight="1" x14ac:dyDescent="0.25">
      <c r="B63" s="185"/>
      <c r="D63" s="459"/>
      <c r="E63" s="460"/>
      <c r="F63" s="460"/>
      <c r="G63" s="460"/>
      <c r="H63" s="460"/>
      <c r="I63" s="460"/>
      <c r="J63" s="460"/>
      <c r="K63" s="461"/>
    </row>
    <row r="64" spans="1:16" ht="35.1" customHeight="1" x14ac:dyDescent="0.25">
      <c r="B64" s="185"/>
      <c r="D64" s="459"/>
      <c r="E64" s="460"/>
      <c r="F64" s="460"/>
      <c r="G64" s="460"/>
      <c r="H64" s="460"/>
      <c r="I64" s="460"/>
      <c r="J64" s="460"/>
      <c r="K64" s="461"/>
    </row>
    <row r="65" spans="2:11" ht="35.1" customHeight="1" x14ac:dyDescent="0.25">
      <c r="B65" s="185"/>
      <c r="D65" s="459"/>
      <c r="E65" s="460" t="s">
        <v>618</v>
      </c>
      <c r="F65" s="460"/>
      <c r="G65" s="460"/>
      <c r="H65" s="460"/>
      <c r="I65" s="460"/>
      <c r="J65" s="460"/>
      <c r="K65" s="461"/>
    </row>
    <row r="66" spans="2:11" ht="35.1" customHeight="1" thickBot="1" x14ac:dyDescent="0.5">
      <c r="B66" s="185"/>
      <c r="D66" s="462"/>
      <c r="E66" s="463" t="s">
        <v>617</v>
      </c>
      <c r="F66" s="464"/>
      <c r="G66" s="464"/>
      <c r="H66" s="464"/>
      <c r="I66" s="464"/>
      <c r="J66" s="464"/>
      <c r="K66" s="465"/>
    </row>
    <row r="67" spans="2:11" ht="35.1" customHeight="1" x14ac:dyDescent="0.25">
      <c r="B67" s="185"/>
      <c r="D67" s="3"/>
      <c r="F67" s="3"/>
      <c r="G67" s="3"/>
      <c r="H67" s="3"/>
      <c r="I67" s="3"/>
      <c r="J67" s="3"/>
    </row>
    <row r="68" spans="2:11" ht="35.1" customHeight="1" x14ac:dyDescent="0.25">
      <c r="B68" s="185"/>
      <c r="D68" s="3"/>
      <c r="F68" s="3"/>
      <c r="G68" s="3"/>
      <c r="H68" s="3"/>
      <c r="I68" s="3"/>
      <c r="J68" s="3"/>
    </row>
    <row r="69" spans="2:11" ht="35.1" customHeight="1" x14ac:dyDescent="0.25">
      <c r="B69" s="185"/>
      <c r="D69" s="3"/>
      <c r="F69" s="3"/>
      <c r="G69" s="3"/>
      <c r="H69" s="3"/>
      <c r="I69" s="3"/>
      <c r="J69" s="3"/>
    </row>
    <row r="70" spans="2:11" ht="35.1" customHeight="1" x14ac:dyDescent="0.25">
      <c r="B70" s="185"/>
      <c r="D70" s="3"/>
      <c r="F70" s="3"/>
      <c r="G70" s="3"/>
      <c r="H70" s="3"/>
      <c r="I70" s="3"/>
      <c r="J70" s="3"/>
    </row>
    <row r="71" spans="2:11" ht="35.1" customHeight="1" x14ac:dyDescent="0.25">
      <c r="B71" s="185"/>
      <c r="D71" s="3"/>
      <c r="F71" s="3"/>
      <c r="G71" s="3"/>
      <c r="H71" s="3"/>
      <c r="I71" s="3"/>
      <c r="J71" s="3"/>
    </row>
    <row r="72" spans="2:11" ht="35.1" customHeight="1" x14ac:dyDescent="0.25">
      <c r="B72" s="185"/>
      <c r="D72" s="3"/>
      <c r="F72" s="3"/>
      <c r="G72" s="3"/>
      <c r="H72" s="3"/>
      <c r="I72" s="3"/>
      <c r="J72" s="3"/>
    </row>
    <row r="73" spans="2:11" ht="35.1" customHeight="1" x14ac:dyDescent="0.25">
      <c r="B73" s="185"/>
      <c r="D73" s="3"/>
      <c r="F73" s="3"/>
      <c r="G73" s="3"/>
      <c r="H73" s="3"/>
      <c r="I73" s="3"/>
      <c r="J73" s="3"/>
    </row>
    <row r="74" spans="2:11" ht="35.1" customHeight="1" x14ac:dyDescent="0.25">
      <c r="B74" s="185"/>
      <c r="D74" s="3"/>
      <c r="F74" s="3"/>
      <c r="G74" s="3"/>
      <c r="H74" s="3"/>
      <c r="I74" s="3"/>
      <c r="J74" s="3"/>
    </row>
    <row r="75" spans="2:11" ht="35.1" customHeight="1" x14ac:dyDescent="0.25">
      <c r="B75" s="185"/>
      <c r="D75" s="3"/>
      <c r="F75" s="3"/>
      <c r="G75" s="3"/>
      <c r="H75" s="3"/>
      <c r="I75" s="3"/>
      <c r="J75" s="3"/>
    </row>
    <row r="76" spans="2:11" ht="35.1" customHeight="1" x14ac:dyDescent="0.25">
      <c r="B76" s="185"/>
      <c r="D76" s="3"/>
      <c r="F76" s="3"/>
      <c r="G76" s="3"/>
      <c r="H76" s="3"/>
      <c r="I76" s="3"/>
      <c r="J76" s="3"/>
    </row>
    <row r="77" spans="2:11" ht="35.1" customHeight="1" x14ac:dyDescent="0.25">
      <c r="B77" s="185"/>
      <c r="D77" s="3"/>
      <c r="F77" s="3"/>
      <c r="G77" s="3"/>
      <c r="H77" s="3"/>
      <c r="I77" s="3"/>
      <c r="J77" s="3"/>
    </row>
    <row r="78" spans="2:11" ht="35.1" customHeight="1" x14ac:dyDescent="0.25">
      <c r="B78" s="185"/>
      <c r="D78" s="3"/>
      <c r="F78" s="3"/>
      <c r="G78" s="3"/>
      <c r="H78" s="3"/>
      <c r="I78" s="3"/>
      <c r="J78" s="3"/>
    </row>
    <row r="79" spans="2:11" ht="35.1" customHeight="1" x14ac:dyDescent="0.25">
      <c r="B79" s="185"/>
      <c r="D79" s="3"/>
      <c r="F79" s="3"/>
      <c r="G79" s="3"/>
      <c r="H79" s="3"/>
      <c r="I79" s="3"/>
      <c r="J79" s="3"/>
    </row>
    <row r="80" spans="2:11" ht="35.1" customHeight="1" x14ac:dyDescent="0.25">
      <c r="B80" s="185"/>
      <c r="D80" s="3"/>
      <c r="F80" s="3"/>
      <c r="G80" s="3"/>
      <c r="H80" s="3"/>
      <c r="I80" s="3"/>
      <c r="J80" s="3"/>
    </row>
    <row r="81" spans="2:10" ht="35.1" customHeight="1" x14ac:dyDescent="0.25">
      <c r="B81" s="185"/>
      <c r="D81" s="3"/>
      <c r="F81" s="3"/>
      <c r="G81" s="3"/>
      <c r="H81" s="3"/>
      <c r="I81" s="3"/>
      <c r="J81" s="3"/>
    </row>
    <row r="82" spans="2:10" ht="35.1" customHeight="1" x14ac:dyDescent="0.25">
      <c r="B82" s="185"/>
      <c r="D82" s="3"/>
      <c r="F82" s="3"/>
      <c r="G82" s="3"/>
      <c r="H82" s="3"/>
      <c r="I82" s="3"/>
      <c r="J82" s="3"/>
    </row>
    <row r="83" spans="2:10" ht="35.1" customHeight="1" x14ac:dyDescent="0.25">
      <c r="B83" s="185"/>
      <c r="D83" s="3"/>
      <c r="F83" s="3"/>
      <c r="G83" s="3"/>
      <c r="H83" s="3"/>
      <c r="I83" s="3"/>
      <c r="J83" s="3"/>
    </row>
    <row r="84" spans="2:10" ht="35.1" customHeight="1" x14ac:dyDescent="0.25">
      <c r="B84" s="185"/>
      <c r="D84" s="3"/>
      <c r="F84" s="3"/>
      <c r="G84" s="3"/>
      <c r="H84" s="3"/>
      <c r="I84" s="3"/>
      <c r="J84" s="3"/>
    </row>
    <row r="85" spans="2:10" ht="35.1" customHeight="1" x14ac:dyDescent="0.25">
      <c r="B85" s="185"/>
      <c r="D85" s="3"/>
      <c r="F85" s="3"/>
      <c r="G85" s="3"/>
      <c r="H85" s="3"/>
      <c r="I85" s="3"/>
      <c r="J85" s="3"/>
    </row>
    <row r="86" spans="2:10" ht="35.1" customHeight="1" x14ac:dyDescent="0.25">
      <c r="B86" s="185"/>
      <c r="D86" s="3"/>
      <c r="F86" s="3"/>
      <c r="G86" s="3"/>
      <c r="H86" s="3"/>
      <c r="I86" s="3"/>
      <c r="J86" s="3"/>
    </row>
    <row r="87" spans="2:10" ht="35.1" customHeight="1" x14ac:dyDescent="0.25">
      <c r="B87" s="185"/>
      <c r="D87" s="3"/>
      <c r="F87" s="3"/>
      <c r="G87" s="3"/>
      <c r="H87" s="3"/>
      <c r="I87" s="3"/>
      <c r="J87" s="3"/>
    </row>
    <row r="88" spans="2:10" ht="35.1" customHeight="1" x14ac:dyDescent="0.25">
      <c r="B88" s="185"/>
      <c r="D88" s="3"/>
      <c r="F88" s="3"/>
      <c r="G88" s="3"/>
      <c r="H88" s="3"/>
      <c r="I88" s="3"/>
      <c r="J88" s="3"/>
    </row>
    <row r="89" spans="2:10" ht="35.1" customHeight="1" x14ac:dyDescent="0.25">
      <c r="B89" s="185"/>
      <c r="D89" s="3"/>
      <c r="F89" s="3"/>
      <c r="G89" s="3"/>
      <c r="H89" s="3"/>
      <c r="I89" s="3"/>
      <c r="J89" s="3"/>
    </row>
    <row r="90" spans="2:10" ht="35.1" customHeight="1" x14ac:dyDescent="0.25">
      <c r="B90" s="185"/>
      <c r="D90" s="3"/>
      <c r="F90" s="3"/>
      <c r="G90" s="3"/>
      <c r="H90" s="3"/>
      <c r="I90" s="3"/>
      <c r="J90" s="3"/>
    </row>
    <row r="91" spans="2:10" ht="35.1" customHeight="1" x14ac:dyDescent="0.25">
      <c r="B91" s="185"/>
      <c r="D91" s="3"/>
      <c r="F91" s="3"/>
      <c r="G91" s="3"/>
      <c r="H91" s="3"/>
      <c r="I91" s="3"/>
      <c r="J91" s="3"/>
    </row>
    <row r="92" spans="2:10" ht="35.1" customHeight="1" x14ac:dyDescent="0.25">
      <c r="B92" s="185"/>
      <c r="D92" s="3"/>
      <c r="F92" s="3"/>
      <c r="G92" s="3"/>
      <c r="H92" s="3"/>
      <c r="I92" s="3"/>
      <c r="J92" s="3"/>
    </row>
    <row r="93" spans="2:10" ht="35.1" customHeight="1" x14ac:dyDescent="0.25">
      <c r="B93" s="185"/>
      <c r="D93" s="3"/>
      <c r="F93" s="3"/>
      <c r="G93" s="3"/>
      <c r="H93" s="3"/>
      <c r="I93" s="3"/>
      <c r="J93" s="3"/>
    </row>
    <row r="94" spans="2:10" ht="35.1" customHeight="1" x14ac:dyDescent="0.25">
      <c r="B94" s="185"/>
      <c r="D94" s="3"/>
      <c r="F94" s="3"/>
      <c r="G94" s="3"/>
      <c r="H94" s="3"/>
      <c r="I94" s="3"/>
      <c r="J94" s="3"/>
    </row>
    <row r="95" spans="2:10" ht="35.1" customHeight="1" x14ac:dyDescent="0.25">
      <c r="B95" s="185"/>
      <c r="D95" s="3"/>
      <c r="F95" s="3"/>
      <c r="G95" s="3"/>
      <c r="H95" s="3"/>
      <c r="I95" s="3"/>
      <c r="J95" s="3"/>
    </row>
    <row r="96" spans="2:10" ht="35.1" customHeight="1" x14ac:dyDescent="0.25">
      <c r="B96" s="185"/>
      <c r="D96" s="3"/>
      <c r="F96" s="3"/>
      <c r="G96" s="3"/>
      <c r="H96" s="3"/>
      <c r="I96" s="3"/>
      <c r="J96" s="3"/>
    </row>
    <row r="97" spans="2:10" ht="35.1" customHeight="1" x14ac:dyDescent="0.25">
      <c r="B97" s="185"/>
      <c r="D97" s="3"/>
      <c r="F97" s="3"/>
      <c r="G97" s="3"/>
      <c r="H97" s="3"/>
      <c r="I97" s="3"/>
      <c r="J97" s="3"/>
    </row>
    <row r="98" spans="2:10" ht="35.1" customHeight="1" x14ac:dyDescent="0.25">
      <c r="B98" s="185"/>
      <c r="D98" s="3"/>
      <c r="F98" s="3"/>
      <c r="G98" s="3"/>
      <c r="H98" s="3"/>
      <c r="I98" s="3"/>
      <c r="J98" s="3"/>
    </row>
    <row r="99" spans="2:10" ht="35.1" customHeight="1" x14ac:dyDescent="0.25">
      <c r="B99" s="185"/>
      <c r="D99" s="3"/>
      <c r="F99" s="3"/>
      <c r="G99" s="3"/>
      <c r="H99" s="3"/>
      <c r="I99" s="3"/>
      <c r="J99" s="3"/>
    </row>
    <row r="100" spans="2:10" ht="35.1" customHeight="1" x14ac:dyDescent="0.25">
      <c r="B100" s="185"/>
      <c r="D100" s="3"/>
      <c r="F100" s="3"/>
      <c r="G100" s="3"/>
      <c r="H100" s="3"/>
      <c r="I100" s="3"/>
      <c r="J100" s="3"/>
    </row>
    <row r="101" spans="2:10" ht="35.1" customHeight="1" x14ac:dyDescent="0.25">
      <c r="B101" s="185"/>
      <c r="D101" s="3"/>
      <c r="F101" s="3"/>
      <c r="G101" s="3"/>
      <c r="H101" s="3"/>
      <c r="I101" s="3"/>
      <c r="J101" s="3"/>
    </row>
    <row r="102" spans="2:10" ht="35.1" customHeight="1" x14ac:dyDescent="0.25">
      <c r="B102" s="185"/>
      <c r="D102" s="3"/>
      <c r="F102" s="3"/>
      <c r="G102" s="3"/>
      <c r="H102" s="3"/>
      <c r="I102" s="3"/>
      <c r="J102" s="3"/>
    </row>
    <row r="103" spans="2:10" ht="35.1" customHeight="1" x14ac:dyDescent="0.25">
      <c r="B103" s="185"/>
      <c r="D103" s="3"/>
      <c r="F103" s="3"/>
      <c r="G103" s="3"/>
      <c r="H103" s="3"/>
      <c r="I103" s="3"/>
      <c r="J103" s="3"/>
    </row>
    <row r="104" spans="2:10" ht="35.1" customHeight="1" x14ac:dyDescent="0.25">
      <c r="B104" s="185"/>
      <c r="D104" s="3"/>
      <c r="F104" s="3"/>
      <c r="G104" s="3"/>
      <c r="H104" s="3"/>
      <c r="I104" s="3"/>
      <c r="J104" s="3"/>
    </row>
    <row r="105" spans="2:10" ht="35.1" customHeight="1" x14ac:dyDescent="0.25">
      <c r="B105" s="185"/>
      <c r="D105" s="3"/>
      <c r="F105" s="3"/>
      <c r="G105" s="3"/>
      <c r="H105" s="3"/>
      <c r="I105" s="3"/>
      <c r="J105" s="3"/>
    </row>
    <row r="106" spans="2:10" ht="35.1" customHeight="1" x14ac:dyDescent="0.25">
      <c r="B106" s="185"/>
      <c r="D106" s="3"/>
      <c r="F106" s="3"/>
      <c r="G106" s="3"/>
      <c r="H106" s="3"/>
      <c r="I106" s="3"/>
      <c r="J106" s="3"/>
    </row>
    <row r="107" spans="2:10" ht="35.1" customHeight="1" x14ac:dyDescent="0.25">
      <c r="B107" s="185"/>
      <c r="D107" s="3"/>
      <c r="F107" s="3"/>
      <c r="G107" s="3"/>
      <c r="H107" s="3"/>
      <c r="I107" s="3"/>
      <c r="J107" s="3"/>
    </row>
    <row r="108" spans="2:10" ht="35.1" customHeight="1" x14ac:dyDescent="0.25">
      <c r="B108" s="185"/>
      <c r="D108" s="3"/>
      <c r="F108" s="3"/>
      <c r="G108" s="3"/>
      <c r="H108" s="3"/>
      <c r="I108" s="3"/>
      <c r="J108" s="3"/>
    </row>
    <row r="109" spans="2:10" ht="35.1" customHeight="1" x14ac:dyDescent="0.25">
      <c r="B109" s="185"/>
      <c r="D109" s="3"/>
      <c r="F109" s="3"/>
      <c r="G109" s="3"/>
      <c r="H109" s="3"/>
      <c r="I109" s="3"/>
      <c r="J109" s="3"/>
    </row>
    <row r="110" spans="2:10" ht="35.1" customHeight="1" x14ac:dyDescent="0.25">
      <c r="B110" s="185"/>
      <c r="D110" s="3"/>
      <c r="F110" s="3"/>
      <c r="G110" s="3"/>
      <c r="H110" s="3"/>
      <c r="I110" s="3"/>
      <c r="J110" s="3"/>
    </row>
    <row r="111" spans="2:10" ht="35.1" customHeight="1" x14ac:dyDescent="0.25">
      <c r="B111" s="185"/>
      <c r="D111" s="3"/>
      <c r="F111" s="3"/>
      <c r="G111" s="3"/>
      <c r="H111" s="3"/>
      <c r="I111" s="3"/>
      <c r="J111" s="3"/>
    </row>
    <row r="112" spans="2:10" ht="35.1" customHeight="1" x14ac:dyDescent="0.25">
      <c r="B112" s="185"/>
      <c r="D112" s="3"/>
      <c r="F112" s="3"/>
      <c r="G112" s="3"/>
      <c r="H112" s="3"/>
      <c r="I112" s="3"/>
      <c r="J112" s="3"/>
    </row>
  </sheetData>
  <mergeCells count="67">
    <mergeCell ref="B19:B25"/>
    <mergeCell ref="B30:B36"/>
    <mergeCell ref="C26:I26"/>
    <mergeCell ref="D18:E18"/>
    <mergeCell ref="D29:E29"/>
    <mergeCell ref="D30:D33"/>
    <mergeCell ref="D34:D35"/>
    <mergeCell ref="D19:D22"/>
    <mergeCell ref="D23:D24"/>
    <mergeCell ref="G23:G24"/>
    <mergeCell ref="H23:H24"/>
    <mergeCell ref="I23:I24"/>
    <mergeCell ref="B49:I49"/>
    <mergeCell ref="K48:K49"/>
    <mergeCell ref="B38:I38"/>
    <mergeCell ref="K37:K38"/>
    <mergeCell ref="B27:I27"/>
    <mergeCell ref="K26:K27"/>
    <mergeCell ref="B41:B47"/>
    <mergeCell ref="J45:J46"/>
    <mergeCell ref="G34:G35"/>
    <mergeCell ref="H34:H35"/>
    <mergeCell ref="I34:I35"/>
    <mergeCell ref="J34:J35"/>
    <mergeCell ref="N52:P52"/>
    <mergeCell ref="N53:O53"/>
    <mergeCell ref="N54:O54"/>
    <mergeCell ref="N55:O55"/>
    <mergeCell ref="U26:W26"/>
    <mergeCell ref="U27:W27"/>
    <mergeCell ref="Q39:S39"/>
    <mergeCell ref="Q26:S26"/>
    <mergeCell ref="Q27:S27"/>
    <mergeCell ref="Q38:S38"/>
    <mergeCell ref="M39:O39"/>
    <mergeCell ref="M26:O26"/>
    <mergeCell ref="M27:O27"/>
    <mergeCell ref="M38:O38"/>
    <mergeCell ref="J23:J24"/>
    <mergeCell ref="C48:I48"/>
    <mergeCell ref="C37:I37"/>
    <mergeCell ref="D41:D44"/>
    <mergeCell ref="D45:D46"/>
    <mergeCell ref="G45:G46"/>
    <mergeCell ref="H45:H46"/>
    <mergeCell ref="I45:I46"/>
    <mergeCell ref="D40:E40"/>
    <mergeCell ref="B14:I14"/>
    <mergeCell ref="B15:I15"/>
    <mergeCell ref="B1:J1"/>
    <mergeCell ref="B2:J2"/>
    <mergeCell ref="D6:E6"/>
    <mergeCell ref="D7:D10"/>
    <mergeCell ref="B7:B13"/>
    <mergeCell ref="D11:D12"/>
    <mergeCell ref="G11:G12"/>
    <mergeCell ref="H11:H12"/>
    <mergeCell ref="I11:I12"/>
    <mergeCell ref="J11:J12"/>
    <mergeCell ref="B4:K4"/>
    <mergeCell ref="K14:K15"/>
    <mergeCell ref="M7:O7"/>
    <mergeCell ref="Q7:S7"/>
    <mergeCell ref="U7:W7"/>
    <mergeCell ref="M8:O8"/>
    <mergeCell ref="Q8:S8"/>
    <mergeCell ref="U8:W8"/>
  </mergeCells>
  <printOptions horizontalCentered="1" verticalCentered="1"/>
  <pageMargins left="0" right="0.23622047244094491" top="0" bottom="0" header="0.31496062992125984" footer="0.31496062992125984"/>
  <pageSetup paperSize="9" scale="31" orientation="landscape" r:id="rId1"/>
  <headerFooter>
    <oddFooter>&amp;L&amp;P&amp;R&amp;D</oddFooter>
  </headerFooter>
  <colBreaks count="1" manualBreakCount="1">
    <brk id="1" max="240" man="1"/>
  </colBreaks>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3" tint="0.79998168889431442"/>
  </sheetPr>
  <dimension ref="A1:AY69"/>
  <sheetViews>
    <sheetView rightToLeft="1" zoomScale="50" zoomScaleNormal="50" zoomScaleSheetLayoutView="50" zoomScalePageLayoutView="40" workbookViewId="0">
      <selection activeCell="E11" sqref="E11"/>
    </sheetView>
  </sheetViews>
  <sheetFormatPr defaultColWidth="9" defaultRowHeight="35.1" customHeight="1" x14ac:dyDescent="0.25"/>
  <cols>
    <col min="1" max="2" width="9" style="210"/>
    <col min="3" max="3" width="51.42578125" style="210" customWidth="1"/>
    <col min="4" max="4" width="22.7109375" style="215" customWidth="1"/>
    <col min="5" max="5" width="48.28515625" style="210" customWidth="1"/>
    <col min="6" max="9" width="11.42578125" style="216" customWidth="1"/>
    <col min="10" max="10" width="14.85546875" style="217" customWidth="1"/>
    <col min="11" max="11" width="15.140625" style="210" customWidth="1"/>
    <col min="12" max="12" width="63.85546875" style="210" customWidth="1"/>
    <col min="13" max="16384" width="9" style="210"/>
  </cols>
  <sheetData>
    <row r="1" spans="1:51" s="209" customFormat="1" ht="30" thickBot="1" x14ac:dyDescent="0.3">
      <c r="B1" s="1053" t="s">
        <v>576</v>
      </c>
      <c r="C1" s="1053"/>
      <c r="D1" s="1053"/>
      <c r="E1" s="1053"/>
      <c r="F1" s="1053"/>
      <c r="G1" s="1053"/>
      <c r="H1" s="1053"/>
      <c r="I1" s="1053"/>
      <c r="J1" s="1053"/>
    </row>
    <row r="2" spans="1:51" ht="47.25" customHeight="1" thickBot="1" x14ac:dyDescent="0.3">
      <c r="C2" s="321"/>
      <c r="D2" s="952" t="s">
        <v>627</v>
      </c>
      <c r="E2" s="952"/>
      <c r="F2" s="952"/>
      <c r="G2" s="321"/>
      <c r="H2" s="321"/>
      <c r="I2" s="321"/>
      <c r="J2" s="380" t="s">
        <v>1171</v>
      </c>
    </row>
    <row r="3" spans="1:51" ht="6.75" customHeight="1" thickBot="1" x14ac:dyDescent="0.3">
      <c r="C3" s="321"/>
      <c r="D3" s="321"/>
      <c r="E3" s="321"/>
      <c r="F3" s="321"/>
      <c r="G3" s="321"/>
      <c r="H3" s="321"/>
      <c r="I3" s="321"/>
      <c r="J3" s="321"/>
    </row>
    <row r="4" spans="1:51" ht="69.75" customHeight="1" thickBot="1" x14ac:dyDescent="0.3">
      <c r="A4" s="210" t="s">
        <v>577</v>
      </c>
      <c r="B4" s="322" t="s">
        <v>0</v>
      </c>
      <c r="C4" s="323" t="s">
        <v>1</v>
      </c>
      <c r="D4" s="324" t="s">
        <v>2</v>
      </c>
      <c r="E4" s="211" t="s">
        <v>2</v>
      </c>
      <c r="F4" s="325" t="s">
        <v>3</v>
      </c>
      <c r="G4" s="323" t="s">
        <v>4</v>
      </c>
      <c r="H4" s="323" t="s">
        <v>5</v>
      </c>
      <c r="I4" s="323" t="s">
        <v>6</v>
      </c>
      <c r="J4" s="326" t="s">
        <v>7</v>
      </c>
    </row>
    <row r="5" spans="1:51" s="212" customFormat="1" ht="31.5" x14ac:dyDescent="0.25">
      <c r="B5" s="327"/>
      <c r="C5" s="213"/>
      <c r="D5" s="218"/>
      <c r="E5" s="218"/>
      <c r="F5" s="218"/>
      <c r="G5" s="218"/>
      <c r="H5" s="218"/>
      <c r="I5" s="218"/>
      <c r="J5" s="328"/>
    </row>
    <row r="6" spans="1:51" ht="161.25" customHeight="1" x14ac:dyDescent="0.25">
      <c r="B6" s="329">
        <v>15</v>
      </c>
      <c r="C6" s="277" t="s">
        <v>578</v>
      </c>
      <c r="D6" s="1054" t="s">
        <v>14</v>
      </c>
      <c r="E6" s="219" t="s">
        <v>579</v>
      </c>
      <c r="F6" s="220" t="s">
        <v>45</v>
      </c>
      <c r="G6" s="221">
        <v>5.54</v>
      </c>
      <c r="H6" s="220">
        <v>0.95</v>
      </c>
      <c r="I6" s="222">
        <v>0.03</v>
      </c>
      <c r="J6" s="330">
        <f>G6*H6+(G6*H6*I6)</f>
        <v>5.42089</v>
      </c>
    </row>
    <row r="7" spans="1:51" ht="31.5" x14ac:dyDescent="0.25">
      <c r="B7" s="329"/>
      <c r="C7" s="214" t="s">
        <v>580</v>
      </c>
      <c r="D7" s="1054"/>
      <c r="E7" s="219" t="s">
        <v>581</v>
      </c>
      <c r="F7" s="220" t="s">
        <v>70</v>
      </c>
      <c r="G7" s="220">
        <v>11</v>
      </c>
      <c r="H7" s="220">
        <v>0.9</v>
      </c>
      <c r="I7" s="222">
        <v>0.04</v>
      </c>
      <c r="J7" s="330">
        <f>G7*H7+(G7*H7*I7)</f>
        <v>10.296000000000001</v>
      </c>
    </row>
    <row r="8" spans="1:51" ht="44.25" customHeight="1" x14ac:dyDescent="0.25">
      <c r="B8" s="329"/>
      <c r="C8" s="214" t="s">
        <v>582</v>
      </c>
      <c r="D8" s="245" t="s">
        <v>11</v>
      </c>
      <c r="E8" s="219"/>
      <c r="F8" s="220" t="s">
        <v>45</v>
      </c>
      <c r="G8" s="220">
        <v>120</v>
      </c>
      <c r="H8" s="220">
        <v>50</v>
      </c>
      <c r="I8" s="220"/>
      <c r="J8" s="330">
        <f>G8/H8</f>
        <v>2.4</v>
      </c>
    </row>
    <row r="9" spans="1:51" s="224" customFormat="1" ht="41.25" customHeight="1" thickBot="1" x14ac:dyDescent="0.3">
      <c r="A9" s="210"/>
      <c r="B9" s="331"/>
      <c r="C9" s="1055" t="s">
        <v>13</v>
      </c>
      <c r="D9" s="1055"/>
      <c r="E9" s="1055"/>
      <c r="F9" s="1055"/>
      <c r="G9" s="1055"/>
      <c r="H9" s="1055"/>
      <c r="I9" s="1055"/>
      <c r="J9" s="332">
        <f>SUM(J6:J8)</f>
        <v>18.116890000000001</v>
      </c>
      <c r="K9" s="332">
        <f>J9*1.25</f>
        <v>22.646112500000001</v>
      </c>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0"/>
      <c r="AQ9" s="210"/>
      <c r="AR9" s="210"/>
      <c r="AS9" s="210"/>
      <c r="AT9" s="210"/>
      <c r="AU9" s="210"/>
      <c r="AV9" s="210"/>
      <c r="AW9" s="210"/>
      <c r="AX9" s="210"/>
      <c r="AY9" s="210"/>
    </row>
    <row r="10" spans="1:51" s="224" customFormat="1" ht="41.25" customHeight="1" thickBot="1" x14ac:dyDescent="0.3">
      <c r="A10" s="210"/>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c r="AP10" s="210"/>
      <c r="AQ10" s="210"/>
      <c r="AR10" s="210"/>
      <c r="AS10" s="210"/>
      <c r="AT10" s="210"/>
      <c r="AU10" s="210"/>
      <c r="AV10" s="210"/>
      <c r="AW10" s="210"/>
      <c r="AX10" s="210"/>
      <c r="AY10" s="210"/>
    </row>
    <row r="11" spans="1:51" ht="69.75" customHeight="1" thickBot="1" x14ac:dyDescent="0.3">
      <c r="A11" s="210" t="s">
        <v>577</v>
      </c>
      <c r="B11" s="322" t="s">
        <v>0</v>
      </c>
      <c r="C11" s="323" t="s">
        <v>1</v>
      </c>
      <c r="D11" s="324" t="s">
        <v>2</v>
      </c>
      <c r="E11" s="211" t="s">
        <v>2</v>
      </c>
      <c r="F11" s="325" t="s">
        <v>3</v>
      </c>
      <c r="G11" s="323" t="s">
        <v>4</v>
      </c>
      <c r="H11" s="323" t="s">
        <v>5</v>
      </c>
      <c r="I11" s="323" t="s">
        <v>6</v>
      </c>
      <c r="J11" s="326" t="s">
        <v>7</v>
      </c>
    </row>
    <row r="12" spans="1:51" ht="172.5" customHeight="1" x14ac:dyDescent="0.25">
      <c r="B12" s="333">
        <v>16</v>
      </c>
      <c r="C12" s="334" t="s">
        <v>583</v>
      </c>
      <c r="D12" s="1066" t="s">
        <v>14</v>
      </c>
      <c r="E12" s="335" t="s">
        <v>584</v>
      </c>
      <c r="F12" s="336" t="s">
        <v>45</v>
      </c>
      <c r="G12" s="337">
        <v>158</v>
      </c>
      <c r="H12" s="337">
        <v>0.8</v>
      </c>
      <c r="I12" s="338">
        <v>0.04</v>
      </c>
      <c r="J12" s="339">
        <f>G12*H12+(G12*H12*I12)</f>
        <v>131.45600000000002</v>
      </c>
    </row>
    <row r="13" spans="1:51" ht="30" x14ac:dyDescent="0.25">
      <c r="B13" s="329"/>
      <c r="C13" s="214"/>
      <c r="D13" s="1054"/>
      <c r="E13" s="223" t="s">
        <v>585</v>
      </c>
      <c r="F13" s="220" t="s">
        <v>45</v>
      </c>
      <c r="G13" s="223">
        <v>20</v>
      </c>
      <c r="H13" s="223">
        <v>0.3</v>
      </c>
      <c r="I13" s="222">
        <v>0.02</v>
      </c>
      <c r="J13" s="330">
        <f>G13*H13+(G13*H13*I13)</f>
        <v>6.12</v>
      </c>
    </row>
    <row r="14" spans="1:51" ht="31.5" x14ac:dyDescent="0.25">
      <c r="B14" s="329"/>
      <c r="C14" s="214" t="s">
        <v>582</v>
      </c>
      <c r="D14" s="245" t="s">
        <v>11</v>
      </c>
      <c r="E14" s="219"/>
      <c r="F14" s="220" t="s">
        <v>45</v>
      </c>
      <c r="G14" s="220">
        <v>60</v>
      </c>
      <c r="H14" s="220">
        <v>32</v>
      </c>
      <c r="I14" s="220"/>
      <c r="J14" s="330">
        <f>G14/H14</f>
        <v>1.875</v>
      </c>
    </row>
    <row r="15" spans="1:51" s="224" customFormat="1" ht="49.5" customHeight="1" thickBot="1" x14ac:dyDescent="0.3">
      <c r="B15" s="331"/>
      <c r="C15" s="1055" t="s">
        <v>13</v>
      </c>
      <c r="D15" s="1055"/>
      <c r="E15" s="1055"/>
      <c r="F15" s="1055"/>
      <c r="G15" s="1055"/>
      <c r="H15" s="1055"/>
      <c r="I15" s="1055"/>
      <c r="J15" s="332">
        <f>SUM(J12:J14)</f>
        <v>139.45100000000002</v>
      </c>
      <c r="K15" s="332">
        <f>J15*1.25</f>
        <v>174.31375000000003</v>
      </c>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10"/>
      <c r="AR15" s="210"/>
      <c r="AS15" s="210"/>
      <c r="AT15" s="210"/>
      <c r="AU15" s="210"/>
      <c r="AV15" s="210"/>
      <c r="AW15" s="210"/>
      <c r="AX15" s="210"/>
      <c r="AY15" s="210"/>
    </row>
    <row r="16" spans="1:51" ht="35.1" customHeight="1" thickBot="1" x14ac:dyDescent="0.3">
      <c r="D16" s="210"/>
    </row>
    <row r="17" spans="1:51" ht="58.5" customHeight="1" thickBot="1" x14ac:dyDescent="0.3">
      <c r="C17" s="1058" t="s">
        <v>846</v>
      </c>
      <c r="D17" s="1059"/>
      <c r="E17" s="1059"/>
      <c r="F17" s="1059"/>
      <c r="G17" s="1059"/>
      <c r="H17" s="1059"/>
      <c r="I17" s="1059"/>
      <c r="J17" s="1060"/>
    </row>
    <row r="18" spans="1:51" ht="134.25" customHeight="1" x14ac:dyDescent="0.25">
      <c r="C18" s="1061" t="s">
        <v>909</v>
      </c>
      <c r="D18" s="319" t="s">
        <v>14</v>
      </c>
      <c r="E18" s="272" t="s">
        <v>911</v>
      </c>
      <c r="F18" s="262" t="s">
        <v>45</v>
      </c>
      <c r="G18" s="262">
        <v>8</v>
      </c>
      <c r="H18" s="262">
        <v>1</v>
      </c>
      <c r="I18" s="262">
        <v>0</v>
      </c>
      <c r="J18" s="263">
        <f>G18*H18+(G18*H18*I18)</f>
        <v>8</v>
      </c>
    </row>
    <row r="19" spans="1:51" ht="48.75" customHeight="1" thickBot="1" x14ac:dyDescent="0.3">
      <c r="C19" s="1062"/>
      <c r="D19" s="1072" t="s">
        <v>910</v>
      </c>
      <c r="E19" s="1072"/>
      <c r="F19" s="262" t="s">
        <v>45</v>
      </c>
      <c r="G19" s="262">
        <v>4</v>
      </c>
      <c r="H19" s="262">
        <v>1</v>
      </c>
      <c r="I19" s="262">
        <v>0</v>
      </c>
      <c r="J19" s="263">
        <f>G19*H19+(G19*H19*I19)</f>
        <v>4</v>
      </c>
    </row>
    <row r="20" spans="1:51" s="224" customFormat="1" ht="49.5" customHeight="1" thickBot="1" x14ac:dyDescent="0.3">
      <c r="A20" s="210"/>
      <c r="B20" s="210"/>
      <c r="C20" s="1056" t="s">
        <v>13</v>
      </c>
      <c r="D20" s="1057"/>
      <c r="E20" s="1057"/>
      <c r="F20" s="1057"/>
      <c r="G20" s="1057"/>
      <c r="H20" s="1057"/>
      <c r="I20" s="1057"/>
      <c r="J20" s="225">
        <f>SUM(J18:J19)</f>
        <v>12</v>
      </c>
      <c r="K20" s="332">
        <f>J20*1.25</f>
        <v>15</v>
      </c>
      <c r="L20" s="210"/>
      <c r="M20" s="210"/>
      <c r="N20" s="210"/>
      <c r="O20" s="210"/>
      <c r="P20" s="210"/>
      <c r="Q20" s="210"/>
      <c r="R20" s="210"/>
      <c r="S20" s="210"/>
      <c r="T20" s="210"/>
      <c r="U20" s="210"/>
      <c r="V20" s="210"/>
      <c r="W20" s="210"/>
      <c r="X20" s="210"/>
      <c r="Y20" s="210"/>
      <c r="Z20" s="210"/>
      <c r="AA20" s="210"/>
      <c r="AB20" s="210"/>
      <c r="AC20" s="210"/>
      <c r="AD20" s="210"/>
      <c r="AE20" s="210"/>
      <c r="AF20" s="210"/>
      <c r="AG20" s="210"/>
      <c r="AH20" s="210"/>
      <c r="AI20" s="210"/>
      <c r="AJ20" s="210"/>
      <c r="AK20" s="210"/>
      <c r="AL20" s="210"/>
      <c r="AM20" s="210"/>
      <c r="AN20" s="210"/>
      <c r="AO20" s="210"/>
      <c r="AP20" s="210"/>
      <c r="AQ20" s="210"/>
      <c r="AR20" s="210"/>
      <c r="AS20" s="210"/>
      <c r="AT20" s="210"/>
      <c r="AU20" s="210"/>
      <c r="AV20" s="210"/>
      <c r="AW20" s="210"/>
      <c r="AX20" s="210"/>
      <c r="AY20" s="210"/>
    </row>
    <row r="21" spans="1:51" ht="35.1" customHeight="1" x14ac:dyDescent="0.25">
      <c r="D21" s="210"/>
      <c r="F21" s="210"/>
      <c r="G21" s="210"/>
    </row>
    <row r="22" spans="1:51" s="268" customFormat="1" ht="35.1" customHeight="1" thickBot="1" x14ac:dyDescent="0.3">
      <c r="H22" s="269"/>
      <c r="I22" s="269"/>
      <c r="J22" s="270"/>
    </row>
    <row r="23" spans="1:51" s="268" customFormat="1" ht="48" customHeight="1" thickBot="1" x14ac:dyDescent="0.3">
      <c r="C23" s="1063" t="s">
        <v>853</v>
      </c>
      <c r="D23" s="1064"/>
      <c r="E23" s="1064"/>
      <c r="F23" s="1064"/>
      <c r="G23" s="1064"/>
      <c r="H23" s="1064"/>
      <c r="I23" s="1064"/>
      <c r="J23" s="1065"/>
    </row>
    <row r="24" spans="1:51" s="268" customFormat="1" ht="60.75" customHeight="1" x14ac:dyDescent="0.25">
      <c r="C24" s="1067" t="s">
        <v>854</v>
      </c>
      <c r="D24" s="265" t="s">
        <v>14</v>
      </c>
      <c r="E24" s="271" t="s">
        <v>912</v>
      </c>
      <c r="F24" s="265" t="s">
        <v>45</v>
      </c>
      <c r="G24" s="265">
        <v>5.5</v>
      </c>
      <c r="H24" s="266">
        <v>1</v>
      </c>
      <c r="I24" s="266">
        <v>0</v>
      </c>
      <c r="J24" s="267">
        <f>G24*H24+(G24*H24*I24)</f>
        <v>5.5</v>
      </c>
    </row>
    <row r="25" spans="1:51" s="268" customFormat="1" ht="69" customHeight="1" x14ac:dyDescent="0.25">
      <c r="C25" s="1067"/>
      <c r="D25" s="261"/>
      <c r="E25" s="272" t="s">
        <v>913</v>
      </c>
      <c r="F25" s="261" t="s">
        <v>45</v>
      </c>
      <c r="G25" s="261">
        <v>1</v>
      </c>
      <c r="H25" s="262">
        <v>1</v>
      </c>
      <c r="I25" s="262">
        <v>0</v>
      </c>
      <c r="J25" s="267">
        <f t="shared" ref="J25:J26" si="0">G25*H25+(G25*H25*I25)</f>
        <v>1</v>
      </c>
    </row>
    <row r="26" spans="1:51" s="268" customFormat="1" ht="62.25" customHeight="1" thickBot="1" x14ac:dyDescent="0.3">
      <c r="C26" s="1068"/>
      <c r="D26" s="1069" t="s">
        <v>910</v>
      </c>
      <c r="E26" s="1070"/>
      <c r="F26" s="261" t="s">
        <v>45</v>
      </c>
      <c r="G26" s="261">
        <v>1.5</v>
      </c>
      <c r="H26" s="262">
        <v>1</v>
      </c>
      <c r="I26" s="262">
        <v>0</v>
      </c>
      <c r="J26" s="267">
        <f t="shared" si="0"/>
        <v>1.5</v>
      </c>
    </row>
    <row r="27" spans="1:51" s="224" customFormat="1" ht="49.5" customHeight="1" thickBot="1" x14ac:dyDescent="0.3">
      <c r="A27" s="210"/>
      <c r="B27" s="210"/>
      <c r="C27" s="1056" t="s">
        <v>13</v>
      </c>
      <c r="D27" s="1057"/>
      <c r="E27" s="1057"/>
      <c r="F27" s="1057"/>
      <c r="G27" s="1057"/>
      <c r="H27" s="1057"/>
      <c r="I27" s="1057"/>
      <c r="J27" s="225">
        <f>SUM(J24:J26)</f>
        <v>8</v>
      </c>
      <c r="K27" s="332">
        <f>J27*1.25</f>
        <v>10</v>
      </c>
      <c r="L27" s="210"/>
      <c r="M27" s="210"/>
      <c r="N27" s="210"/>
      <c r="O27" s="210"/>
      <c r="P27" s="210"/>
      <c r="Q27" s="210"/>
      <c r="R27" s="210"/>
      <c r="S27" s="210"/>
      <c r="T27" s="210"/>
      <c r="U27" s="210"/>
      <c r="V27" s="210"/>
      <c r="W27" s="210"/>
      <c r="X27" s="210"/>
      <c r="Y27" s="210"/>
      <c r="Z27" s="210"/>
      <c r="AA27" s="210"/>
      <c r="AB27" s="210"/>
      <c r="AC27" s="210"/>
      <c r="AD27" s="210"/>
      <c r="AE27" s="210"/>
      <c r="AF27" s="210"/>
      <c r="AG27" s="210"/>
      <c r="AH27" s="210"/>
      <c r="AI27" s="210"/>
      <c r="AJ27" s="210"/>
      <c r="AK27" s="210"/>
      <c r="AL27" s="210"/>
      <c r="AM27" s="210"/>
      <c r="AN27" s="210"/>
      <c r="AO27" s="210"/>
      <c r="AP27" s="210"/>
      <c r="AQ27" s="210"/>
      <c r="AR27" s="210"/>
      <c r="AS27" s="210"/>
      <c r="AT27" s="210"/>
      <c r="AU27" s="210"/>
      <c r="AV27" s="210"/>
      <c r="AW27" s="210"/>
      <c r="AX27" s="210"/>
      <c r="AY27" s="210"/>
    </row>
    <row r="28" spans="1:51" ht="35.1" customHeight="1" thickBot="1" x14ac:dyDescent="0.3">
      <c r="D28" s="210"/>
      <c r="F28" s="210"/>
      <c r="G28" s="210"/>
    </row>
    <row r="29" spans="1:51" ht="59.25" customHeight="1" x14ac:dyDescent="0.25">
      <c r="C29" s="1071" t="s">
        <v>914</v>
      </c>
      <c r="D29" s="1059"/>
      <c r="E29" s="1059"/>
      <c r="F29" s="1059"/>
      <c r="G29" s="1059"/>
      <c r="H29" s="1059"/>
      <c r="I29" s="1059"/>
      <c r="J29" s="1060"/>
    </row>
    <row r="30" spans="1:51" ht="51.75" customHeight="1" x14ac:dyDescent="0.25">
      <c r="C30" s="1080" t="s">
        <v>861</v>
      </c>
      <c r="D30" s="1072" t="s">
        <v>609</v>
      </c>
      <c r="E30" s="276" t="s">
        <v>915</v>
      </c>
      <c r="F30" s="264" t="s">
        <v>45</v>
      </c>
      <c r="G30" s="264">
        <v>4</v>
      </c>
      <c r="H30" s="262">
        <v>1</v>
      </c>
      <c r="I30" s="262">
        <v>0</v>
      </c>
      <c r="J30" s="263">
        <f>G30*H30+(G30*H30*I30)</f>
        <v>4</v>
      </c>
      <c r="L30" s="275" t="s">
        <v>864</v>
      </c>
      <c r="M30" s="274"/>
      <c r="N30" s="274"/>
      <c r="O30" s="274"/>
      <c r="P30" s="274"/>
      <c r="Q30" s="274"/>
      <c r="R30" s="274"/>
      <c r="S30" s="274"/>
    </row>
    <row r="31" spans="1:51" ht="54.75" customHeight="1" x14ac:dyDescent="0.25">
      <c r="C31" s="1080"/>
      <c r="D31" s="1072"/>
      <c r="E31" s="276" t="s">
        <v>916</v>
      </c>
      <c r="F31" s="264" t="s">
        <v>45</v>
      </c>
      <c r="G31" s="264">
        <v>2</v>
      </c>
      <c r="H31" s="262">
        <v>1</v>
      </c>
      <c r="I31" s="262">
        <v>0</v>
      </c>
      <c r="J31" s="263">
        <f t="shared" ref="J31:J36" si="1">G31*H31+(G31*H31*I31)</f>
        <v>2</v>
      </c>
      <c r="L31" s="275" t="s">
        <v>865</v>
      </c>
      <c r="M31" s="274"/>
      <c r="N31" s="274"/>
      <c r="O31" s="274"/>
      <c r="P31" s="274"/>
      <c r="Q31" s="274"/>
      <c r="R31" s="274"/>
      <c r="S31" s="274"/>
    </row>
    <row r="32" spans="1:51" ht="44.25" customHeight="1" x14ac:dyDescent="0.25">
      <c r="C32" s="1080"/>
      <c r="D32" s="1072"/>
      <c r="E32" s="264" t="s">
        <v>917</v>
      </c>
      <c r="F32" s="264" t="s">
        <v>45</v>
      </c>
      <c r="G32" s="264">
        <v>20</v>
      </c>
      <c r="H32" s="262">
        <v>1</v>
      </c>
      <c r="I32" s="262">
        <v>0</v>
      </c>
      <c r="J32" s="263">
        <f t="shared" si="1"/>
        <v>20</v>
      </c>
      <c r="L32" s="275" t="s">
        <v>866</v>
      </c>
      <c r="M32" s="274"/>
      <c r="N32" s="274"/>
      <c r="O32" s="274"/>
      <c r="P32" s="274"/>
      <c r="Q32" s="274"/>
      <c r="R32" s="274"/>
      <c r="S32" s="274"/>
    </row>
    <row r="33" spans="3:12" ht="63.75" customHeight="1" x14ac:dyDescent="0.25">
      <c r="C33" s="1080"/>
      <c r="D33" s="1072"/>
      <c r="E33" s="276" t="s">
        <v>918</v>
      </c>
      <c r="F33" s="264" t="s">
        <v>45</v>
      </c>
      <c r="G33" s="214">
        <v>1</v>
      </c>
      <c r="H33" s="260">
        <v>1</v>
      </c>
      <c r="I33" s="260">
        <v>0</v>
      </c>
      <c r="J33" s="263">
        <f t="shared" si="1"/>
        <v>1</v>
      </c>
    </row>
    <row r="34" spans="3:12" ht="32.25" customHeight="1" x14ac:dyDescent="0.25">
      <c r="C34" s="1080"/>
      <c r="D34" s="1081" t="s">
        <v>11</v>
      </c>
      <c r="E34" s="1081"/>
      <c r="F34" s="264" t="s">
        <v>45</v>
      </c>
      <c r="G34" s="214">
        <v>7</v>
      </c>
      <c r="H34" s="260">
        <v>1</v>
      </c>
      <c r="I34" s="260">
        <v>0</v>
      </c>
      <c r="J34" s="263">
        <f t="shared" si="1"/>
        <v>7</v>
      </c>
    </row>
    <row r="35" spans="3:12" ht="32.25" customHeight="1" x14ac:dyDescent="0.25">
      <c r="C35" s="1080"/>
      <c r="D35" s="1079" t="s">
        <v>919</v>
      </c>
      <c r="E35" s="214" t="s">
        <v>609</v>
      </c>
      <c r="F35" s="264" t="s">
        <v>45</v>
      </c>
      <c r="G35" s="214">
        <v>6</v>
      </c>
      <c r="H35" s="260">
        <v>1</v>
      </c>
      <c r="I35" s="260"/>
      <c r="J35" s="263">
        <f t="shared" si="1"/>
        <v>6</v>
      </c>
    </row>
    <row r="36" spans="3:12" ht="32.25" customHeight="1" x14ac:dyDescent="0.25">
      <c r="C36" s="1080"/>
      <c r="D36" s="1079"/>
      <c r="E36" s="214" t="s">
        <v>11</v>
      </c>
      <c r="F36" s="214" t="s">
        <v>45</v>
      </c>
      <c r="G36" s="214">
        <v>7</v>
      </c>
      <c r="H36" s="260">
        <v>1</v>
      </c>
      <c r="I36" s="260"/>
      <c r="J36" s="263">
        <f t="shared" si="1"/>
        <v>7</v>
      </c>
    </row>
    <row r="37" spans="3:12" ht="60.75" customHeight="1" thickBot="1" x14ac:dyDescent="0.3">
      <c r="C37" s="1056" t="s">
        <v>13</v>
      </c>
      <c r="D37" s="1056"/>
      <c r="E37" s="1056"/>
      <c r="F37" s="1056"/>
      <c r="G37" s="1056"/>
      <c r="H37" s="1056"/>
      <c r="I37" s="1056"/>
      <c r="J37" s="320">
        <f>SUM(J30:J36)</f>
        <v>47</v>
      </c>
      <c r="K37" s="332">
        <f>J37*1.25</f>
        <v>58.75</v>
      </c>
    </row>
    <row r="38" spans="3:12" ht="60.75" customHeight="1" thickBot="1" x14ac:dyDescent="0.3">
      <c r="D38" s="210"/>
      <c r="F38" s="210"/>
      <c r="G38" s="210"/>
      <c r="H38" s="210"/>
      <c r="I38" s="210"/>
      <c r="J38" s="210"/>
    </row>
    <row r="39" spans="3:12" ht="63" customHeight="1" thickBot="1" x14ac:dyDescent="0.3">
      <c r="C39" s="1058" t="s">
        <v>921</v>
      </c>
      <c r="D39" s="1076"/>
      <c r="E39" s="1059"/>
      <c r="F39" s="1076"/>
      <c r="G39" s="1076"/>
      <c r="H39" s="1076"/>
      <c r="I39" s="1076"/>
      <c r="J39" s="1077"/>
    </row>
    <row r="40" spans="3:12" ht="58.5" customHeight="1" x14ac:dyDescent="0.25">
      <c r="C40" s="1073" t="s">
        <v>920</v>
      </c>
      <c r="D40" s="278"/>
      <c r="E40" s="284" t="s">
        <v>922</v>
      </c>
      <c r="F40" s="278" t="s">
        <v>45</v>
      </c>
      <c r="G40" s="278">
        <v>2</v>
      </c>
      <c r="H40" s="279">
        <v>1</v>
      </c>
      <c r="I40" s="279">
        <v>0</v>
      </c>
      <c r="J40" s="263">
        <f>G40*H40+(G40*H40*I40)</f>
        <v>2</v>
      </c>
    </row>
    <row r="41" spans="3:12" ht="58.5" customHeight="1" x14ac:dyDescent="0.25">
      <c r="C41" s="1074"/>
      <c r="D41" s="214"/>
      <c r="E41" s="284" t="s">
        <v>923</v>
      </c>
      <c r="F41" s="214" t="s">
        <v>45</v>
      </c>
      <c r="G41" s="214">
        <v>17.5</v>
      </c>
      <c r="H41" s="260">
        <v>1</v>
      </c>
      <c r="I41" s="260"/>
      <c r="J41" s="263">
        <f t="shared" ref="J41:J43" si="2">G41*H41+(G41*H41*I41)</f>
        <v>17.5</v>
      </c>
    </row>
    <row r="42" spans="3:12" ht="58.5" customHeight="1" x14ac:dyDescent="0.25">
      <c r="C42" s="1074"/>
      <c r="D42" s="214"/>
      <c r="E42" s="285" t="s">
        <v>924</v>
      </c>
      <c r="F42" s="278" t="s">
        <v>45</v>
      </c>
      <c r="G42" s="214">
        <v>1</v>
      </c>
      <c r="H42" s="260">
        <v>1</v>
      </c>
      <c r="I42" s="260"/>
      <c r="J42" s="263">
        <f t="shared" si="2"/>
        <v>1</v>
      </c>
      <c r="L42" s="273" t="s">
        <v>877</v>
      </c>
    </row>
    <row r="43" spans="3:12" ht="58.5" customHeight="1" x14ac:dyDescent="0.25">
      <c r="C43" s="1074"/>
      <c r="D43" s="214"/>
      <c r="E43" s="214" t="s">
        <v>910</v>
      </c>
      <c r="F43" s="214" t="s">
        <v>45</v>
      </c>
      <c r="G43" s="214">
        <v>7</v>
      </c>
      <c r="H43" s="260">
        <v>1</v>
      </c>
      <c r="I43" s="260"/>
      <c r="J43" s="263">
        <f t="shared" si="2"/>
        <v>7</v>
      </c>
      <c r="L43" s="273" t="s">
        <v>866</v>
      </c>
    </row>
    <row r="44" spans="3:12" ht="60.75" customHeight="1" thickBot="1" x14ac:dyDescent="0.3">
      <c r="C44" s="1056" t="s">
        <v>13</v>
      </c>
      <c r="D44" s="1057"/>
      <c r="E44" s="1057"/>
      <c r="F44" s="1057"/>
      <c r="G44" s="1057"/>
      <c r="H44" s="1057"/>
      <c r="I44" s="1057"/>
      <c r="J44" s="225">
        <f>SUM(J40:J43)</f>
        <v>27.5</v>
      </c>
      <c r="K44" s="332">
        <f>J44*1.25</f>
        <v>34.375</v>
      </c>
    </row>
    <row r="45" spans="3:12" ht="35.1" customHeight="1" thickBot="1" x14ac:dyDescent="0.3">
      <c r="D45" s="210"/>
      <c r="F45" s="210"/>
      <c r="G45" s="210"/>
    </row>
    <row r="46" spans="3:12" ht="66" customHeight="1" thickBot="1" x14ac:dyDescent="0.3">
      <c r="C46" s="1058" t="s">
        <v>925</v>
      </c>
      <c r="D46" s="1076"/>
      <c r="E46" s="1076"/>
      <c r="F46" s="1076"/>
      <c r="G46" s="1076"/>
      <c r="H46" s="1076"/>
      <c r="I46" s="1076"/>
      <c r="J46" s="1077"/>
    </row>
    <row r="47" spans="3:12" ht="35.1" customHeight="1" x14ac:dyDescent="0.25">
      <c r="D47" s="210"/>
      <c r="F47" s="210"/>
      <c r="G47" s="210"/>
    </row>
    <row r="48" spans="3:12" ht="28.5" customHeight="1" x14ac:dyDescent="0.25">
      <c r="C48" s="1075" t="s">
        <v>883</v>
      </c>
      <c r="D48" s="214"/>
      <c r="E48" s="286" t="s">
        <v>926</v>
      </c>
      <c r="F48" s="214" t="s">
        <v>45</v>
      </c>
      <c r="G48" s="214">
        <v>1.5</v>
      </c>
      <c r="H48" s="260">
        <v>1</v>
      </c>
      <c r="I48" s="260">
        <v>0</v>
      </c>
      <c r="J48" s="263">
        <f>G48*H48+(G48*H48*I48)</f>
        <v>1.5</v>
      </c>
    </row>
    <row r="49" spans="3:12" ht="28.5" customHeight="1" x14ac:dyDescent="0.25">
      <c r="C49" s="1075"/>
      <c r="D49" s="214"/>
      <c r="E49" s="286" t="s">
        <v>922</v>
      </c>
      <c r="F49" s="214" t="s">
        <v>45</v>
      </c>
      <c r="G49" s="214">
        <v>1</v>
      </c>
      <c r="H49" s="260">
        <v>1</v>
      </c>
      <c r="I49" s="260"/>
      <c r="J49" s="263">
        <f t="shared" ref="J49:J51" si="3">G49*H49+(G49*H49*I49)</f>
        <v>1</v>
      </c>
      <c r="L49" s="273" t="s">
        <v>864</v>
      </c>
    </row>
    <row r="50" spans="3:12" ht="28.5" customHeight="1" x14ac:dyDescent="0.25">
      <c r="C50" s="1075"/>
      <c r="D50" s="214"/>
      <c r="E50" s="286" t="s">
        <v>864</v>
      </c>
      <c r="F50" s="214" t="s">
        <v>45</v>
      </c>
      <c r="G50" s="214">
        <v>20</v>
      </c>
      <c r="H50" s="214">
        <v>1</v>
      </c>
      <c r="I50" s="214"/>
      <c r="J50" s="263">
        <f t="shared" si="3"/>
        <v>20</v>
      </c>
      <c r="L50" s="273" t="s">
        <v>865</v>
      </c>
    </row>
    <row r="51" spans="3:12" ht="28.5" customHeight="1" x14ac:dyDescent="0.25">
      <c r="C51" s="1075"/>
      <c r="D51" s="214"/>
      <c r="E51" s="285" t="s">
        <v>924</v>
      </c>
      <c r="F51" s="214" t="s">
        <v>45</v>
      </c>
      <c r="G51" s="214">
        <v>1</v>
      </c>
      <c r="H51" s="260">
        <v>1</v>
      </c>
      <c r="I51" s="260"/>
      <c r="J51" s="263">
        <f t="shared" si="3"/>
        <v>1</v>
      </c>
      <c r="L51" s="273" t="s">
        <v>866</v>
      </c>
    </row>
    <row r="52" spans="3:12" ht="28.5" customHeight="1" x14ac:dyDescent="0.25">
      <c r="C52" s="1075"/>
      <c r="D52" s="214"/>
      <c r="E52" s="214" t="s">
        <v>910</v>
      </c>
      <c r="F52" s="214" t="s">
        <v>45</v>
      </c>
      <c r="G52" s="214">
        <v>4</v>
      </c>
      <c r="H52" s="260">
        <v>1</v>
      </c>
      <c r="I52" s="260"/>
      <c r="J52" s="263">
        <f>G52*H52+(G52*H52*I52)</f>
        <v>4</v>
      </c>
      <c r="L52" s="273" t="s">
        <v>867</v>
      </c>
    </row>
    <row r="53" spans="3:12" ht="28.5" customHeight="1" x14ac:dyDescent="0.25">
      <c r="C53" s="1075"/>
      <c r="D53" s="1078" t="s">
        <v>870</v>
      </c>
      <c r="E53" s="214" t="s">
        <v>609</v>
      </c>
      <c r="F53" s="214" t="s">
        <v>45</v>
      </c>
      <c r="G53" s="214">
        <v>6</v>
      </c>
      <c r="H53" s="260">
        <v>1</v>
      </c>
      <c r="I53" s="260"/>
      <c r="J53" s="283">
        <f>G53*H53+(G53*H53*I53)</f>
        <v>6</v>
      </c>
    </row>
    <row r="54" spans="3:12" ht="28.5" customHeight="1" x14ac:dyDescent="0.25">
      <c r="C54" s="1075"/>
      <c r="D54" s="1078"/>
      <c r="E54" s="214" t="s">
        <v>11</v>
      </c>
      <c r="F54" s="214" t="s">
        <v>45</v>
      </c>
      <c r="G54" s="214">
        <v>5</v>
      </c>
      <c r="H54" s="260">
        <v>1</v>
      </c>
      <c r="I54" s="260"/>
      <c r="J54" s="283">
        <f>G54*H54+(G54*H54*I54)</f>
        <v>5</v>
      </c>
    </row>
    <row r="55" spans="3:12" ht="60.75" customHeight="1" thickBot="1" x14ac:dyDescent="0.3">
      <c r="C55" s="1056" t="s">
        <v>13</v>
      </c>
      <c r="D55" s="1057"/>
      <c r="E55" s="1057"/>
      <c r="F55" s="1057"/>
      <c r="G55" s="1057"/>
      <c r="H55" s="1057"/>
      <c r="I55" s="1057"/>
      <c r="J55" s="225">
        <f>SUM(J48:J54)</f>
        <v>38.5</v>
      </c>
      <c r="K55" s="332">
        <f>J55*1.25</f>
        <v>48.125</v>
      </c>
    </row>
    <row r="56" spans="3:12" ht="35.1" customHeight="1" thickBot="1" x14ac:dyDescent="0.3">
      <c r="D56" s="210"/>
      <c r="F56" s="210"/>
      <c r="G56" s="210"/>
    </row>
    <row r="57" spans="3:12" ht="46.5" customHeight="1" thickBot="1" x14ac:dyDescent="0.3">
      <c r="C57" s="318" t="s">
        <v>13</v>
      </c>
      <c r="D57" s="210"/>
      <c r="E57" s="318" t="s">
        <v>11</v>
      </c>
      <c r="F57" s="210"/>
      <c r="G57" s="210"/>
    </row>
    <row r="58" spans="3:12" ht="57" customHeight="1" thickBot="1" x14ac:dyDescent="0.3">
      <c r="C58" s="313" t="s">
        <v>930</v>
      </c>
      <c r="D58" s="317"/>
      <c r="E58" s="296" t="s">
        <v>1025</v>
      </c>
      <c r="F58" s="210"/>
      <c r="G58" s="210"/>
    </row>
    <row r="59" spans="3:12" ht="57" customHeight="1" x14ac:dyDescent="0.25">
      <c r="C59" s="315" t="s">
        <v>931</v>
      </c>
      <c r="D59" s="317"/>
      <c r="E59" s="316" t="s">
        <v>1026</v>
      </c>
      <c r="F59" s="210"/>
      <c r="G59" s="210"/>
    </row>
    <row r="60" spans="3:12" ht="72" customHeight="1" x14ac:dyDescent="0.25">
      <c r="C60" s="316" t="s">
        <v>932</v>
      </c>
      <c r="D60" s="317"/>
      <c r="E60" s="316" t="s">
        <v>1027</v>
      </c>
      <c r="F60" s="210"/>
      <c r="G60" s="210"/>
    </row>
    <row r="61" spans="3:12" ht="57" customHeight="1" x14ac:dyDescent="0.25">
      <c r="C61" s="316" t="s">
        <v>933</v>
      </c>
      <c r="D61" s="317"/>
      <c r="E61" s="316" t="s">
        <v>1028</v>
      </c>
      <c r="F61" s="210"/>
      <c r="G61" s="210"/>
    </row>
    <row r="62" spans="3:12" ht="57" customHeight="1" x14ac:dyDescent="0.25">
      <c r="C62" s="317"/>
      <c r="D62" s="317"/>
      <c r="E62" s="316" t="s">
        <v>1029</v>
      </c>
      <c r="F62" s="210"/>
      <c r="G62" s="210"/>
    </row>
    <row r="63" spans="3:12" ht="49.5" customHeight="1" x14ac:dyDescent="0.25">
      <c r="D63" s="210"/>
      <c r="E63" s="316" t="s">
        <v>1030</v>
      </c>
      <c r="F63" s="210"/>
      <c r="G63" s="210"/>
    </row>
    <row r="64" spans="3:12" ht="35.1" customHeight="1" x14ac:dyDescent="0.25">
      <c r="D64" s="210"/>
      <c r="F64" s="210"/>
      <c r="G64" s="210"/>
    </row>
    <row r="65" spans="4:7" ht="35.1" customHeight="1" x14ac:dyDescent="0.25">
      <c r="D65" s="210"/>
      <c r="F65" s="210"/>
      <c r="G65" s="210"/>
    </row>
    <row r="66" spans="4:7" ht="35.1" customHeight="1" x14ac:dyDescent="0.25">
      <c r="D66" s="210"/>
      <c r="F66" s="210"/>
      <c r="G66" s="210"/>
    </row>
    <row r="67" spans="4:7" ht="35.1" customHeight="1" x14ac:dyDescent="0.25">
      <c r="D67" s="210"/>
      <c r="F67" s="210"/>
      <c r="G67" s="210"/>
    </row>
    <row r="68" spans="4:7" ht="35.1" customHeight="1" x14ac:dyDescent="0.25">
      <c r="D68" s="210"/>
      <c r="F68" s="210"/>
      <c r="G68" s="210"/>
    </row>
    <row r="69" spans="4:7" ht="35.1" customHeight="1" x14ac:dyDescent="0.25">
      <c r="D69" s="210"/>
      <c r="F69" s="210"/>
      <c r="G69" s="210"/>
    </row>
  </sheetData>
  <mergeCells count="27">
    <mergeCell ref="C48:C54"/>
    <mergeCell ref="C46:J46"/>
    <mergeCell ref="C55:I55"/>
    <mergeCell ref="D53:D54"/>
    <mergeCell ref="D2:F2"/>
    <mergeCell ref="C39:J39"/>
    <mergeCell ref="D35:D36"/>
    <mergeCell ref="C37:I37"/>
    <mergeCell ref="C30:C36"/>
    <mergeCell ref="D30:D33"/>
    <mergeCell ref="D34:E34"/>
    <mergeCell ref="B1:J1"/>
    <mergeCell ref="D6:D7"/>
    <mergeCell ref="C9:I9"/>
    <mergeCell ref="C44:I44"/>
    <mergeCell ref="C17:J17"/>
    <mergeCell ref="C18:C19"/>
    <mergeCell ref="C23:J23"/>
    <mergeCell ref="D12:D13"/>
    <mergeCell ref="C15:I15"/>
    <mergeCell ref="C24:C26"/>
    <mergeCell ref="D26:E26"/>
    <mergeCell ref="C27:I27"/>
    <mergeCell ref="C29:J29"/>
    <mergeCell ref="D19:E19"/>
    <mergeCell ref="C20:I20"/>
    <mergeCell ref="C40:C43"/>
  </mergeCells>
  <hyperlinks>
    <hyperlink ref="J2" location="cover!A1" display="cover!A1" xr:uid="{00000000-0004-0000-0600-000000000000}"/>
  </hyperlinks>
  <printOptions horizontalCentered="1"/>
  <pageMargins left="0" right="0" top="0" bottom="0" header="0.31496062992125984" footer="0.31496062992125984"/>
  <pageSetup paperSize="9" scale="48" orientation="landscape" r:id="rId1"/>
  <colBreaks count="1" manualBreakCount="1">
    <brk id="1" max="240" man="1"/>
  </col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3" tint="0.79998168889431442"/>
    <pageSetUpPr fitToPage="1"/>
  </sheetPr>
  <dimension ref="A1:M89"/>
  <sheetViews>
    <sheetView rightToLeft="1" zoomScale="50" zoomScaleNormal="50" zoomScaleSheetLayoutView="80" zoomScalePageLayoutView="40" workbookViewId="0">
      <pane ySplit="6" topLeftCell="A7" activePane="bottomLeft" state="frozen"/>
      <selection pane="bottomLeft" activeCell="J11" sqref="J11"/>
    </sheetView>
  </sheetViews>
  <sheetFormatPr defaultColWidth="9" defaultRowHeight="35.1" customHeight="1" x14ac:dyDescent="0.25"/>
  <cols>
    <col min="1" max="1" width="4.28515625" style="185" customWidth="1"/>
    <col min="2" max="2" width="6.28515625" style="188" customWidth="1"/>
    <col min="3" max="3" width="28.28515625" style="3" customWidth="1"/>
    <col min="4" max="4" width="16" style="447" customWidth="1"/>
    <col min="5" max="5" width="24.28515625" style="3" customWidth="1"/>
    <col min="6" max="6" width="13" style="445" customWidth="1"/>
    <col min="7" max="7" width="15.140625" style="445" customWidth="1"/>
    <col min="8" max="8" width="15.28515625" style="445" customWidth="1"/>
    <col min="9" max="9" width="19.42578125" style="445" customWidth="1"/>
    <col min="10" max="10" width="14.5703125" style="446" customWidth="1"/>
    <col min="11" max="11" width="15.85546875" style="185" customWidth="1"/>
    <col min="12" max="12" width="9" style="185"/>
    <col min="13" max="13" width="73.7109375" style="185" customWidth="1"/>
    <col min="14" max="16384" width="9" style="185"/>
  </cols>
  <sheetData>
    <row r="1" spans="1:13" s="157" customFormat="1" ht="33" x14ac:dyDescent="0.25">
      <c r="B1" s="995" t="str">
        <f>'خرسانة مسلحة'!B1:J1</f>
        <v>تحليل اسعار</v>
      </c>
      <c r="C1" s="995"/>
      <c r="D1" s="995"/>
      <c r="E1" s="995"/>
      <c r="F1" s="995"/>
      <c r="G1" s="995"/>
      <c r="H1" s="995"/>
      <c r="I1" s="995"/>
      <c r="J1" s="995"/>
    </row>
    <row r="2" spans="1:13" ht="26.25" x14ac:dyDescent="0.25">
      <c r="B2" s="996" t="s">
        <v>186</v>
      </c>
      <c r="C2" s="996"/>
      <c r="D2" s="996"/>
      <c r="E2" s="996"/>
      <c r="F2" s="996"/>
      <c r="G2" s="996"/>
      <c r="H2" s="996"/>
      <c r="I2" s="996"/>
      <c r="J2" s="996"/>
    </row>
    <row r="3" spans="1:13" s="34" customFormat="1" ht="26.25" customHeight="1" thickBot="1" x14ac:dyDescent="0.3">
      <c r="A3" s="185"/>
      <c r="B3" s="154"/>
      <c r="C3" s="460"/>
      <c r="D3" s="460"/>
      <c r="E3" s="460"/>
      <c r="F3" s="460"/>
      <c r="G3" s="460"/>
      <c r="H3" s="460"/>
      <c r="I3" s="460"/>
      <c r="J3" s="460"/>
      <c r="K3" s="185"/>
    </row>
    <row r="4" spans="1:13" s="34" customFormat="1" ht="39.75" customHeight="1" thickBot="1" x14ac:dyDescent="0.3">
      <c r="C4" s="470"/>
      <c r="D4" s="470"/>
      <c r="E4" s="1083" t="s">
        <v>516</v>
      </c>
      <c r="F4" s="1083"/>
      <c r="G4" s="1083"/>
      <c r="H4" s="470"/>
      <c r="I4" s="470"/>
      <c r="J4" s="470"/>
      <c r="K4" s="380" t="s">
        <v>1171</v>
      </c>
    </row>
    <row r="5" spans="1:13" s="34" customFormat="1" ht="24.75" customHeight="1" x14ac:dyDescent="0.25">
      <c r="A5" s="185"/>
      <c r="B5" s="185"/>
      <c r="C5" s="3"/>
      <c r="D5" s="3"/>
      <c r="E5" s="3"/>
      <c r="F5" s="3"/>
      <c r="G5" s="3"/>
      <c r="H5" s="3"/>
      <c r="I5" s="3"/>
      <c r="J5" s="3"/>
    </row>
    <row r="6" spans="1:13" s="34" customFormat="1" ht="69.75" customHeight="1" x14ac:dyDescent="0.25">
      <c r="B6" s="186" t="s">
        <v>0</v>
      </c>
      <c r="C6" s="414" t="s">
        <v>1</v>
      </c>
      <c r="D6" s="997" t="s">
        <v>2</v>
      </c>
      <c r="E6" s="997"/>
      <c r="F6" s="414" t="s">
        <v>3</v>
      </c>
      <c r="G6" s="414" t="s">
        <v>4</v>
      </c>
      <c r="H6" s="414" t="s">
        <v>5</v>
      </c>
      <c r="I6" s="414" t="s">
        <v>6</v>
      </c>
      <c r="J6" s="415" t="s">
        <v>7</v>
      </c>
    </row>
    <row r="7" spans="1:13" ht="29.25" thickBot="1" x14ac:dyDescent="0.3">
      <c r="B7" s="190">
        <v>1</v>
      </c>
      <c r="C7" s="1002" t="s">
        <v>213</v>
      </c>
      <c r="D7" s="1003" t="s">
        <v>14</v>
      </c>
      <c r="E7" s="438" t="s">
        <v>179</v>
      </c>
      <c r="F7" s="434" t="s">
        <v>49</v>
      </c>
      <c r="G7" s="417">
        <v>0.5</v>
      </c>
      <c r="H7" s="434">
        <v>0.2</v>
      </c>
      <c r="I7" s="441">
        <v>0.1</v>
      </c>
      <c r="J7" s="437">
        <f t="shared" ref="J7:J13" si="0">H7*G7+(I7*H7*G7)</f>
        <v>0.11000000000000001</v>
      </c>
      <c r="K7" s="34"/>
    </row>
    <row r="8" spans="1:13" ht="33.75" x14ac:dyDescent="0.25">
      <c r="B8" s="190"/>
      <c r="C8" s="1002"/>
      <c r="D8" s="1003"/>
      <c r="E8" s="438" t="s">
        <v>180</v>
      </c>
      <c r="F8" s="434" t="s">
        <v>49</v>
      </c>
      <c r="G8" s="421">
        <f>'اسعار الخامات'!E25/18</f>
        <v>2</v>
      </c>
      <c r="H8" s="434">
        <v>1.5</v>
      </c>
      <c r="I8" s="441">
        <v>0.05</v>
      </c>
      <c r="J8" s="437">
        <f t="shared" si="0"/>
        <v>3.15</v>
      </c>
      <c r="K8" s="34"/>
      <c r="M8" s="798" t="s">
        <v>948</v>
      </c>
    </row>
    <row r="9" spans="1:13" ht="57.75" customHeight="1" x14ac:dyDescent="0.25">
      <c r="B9" s="190"/>
      <c r="C9" s="1002"/>
      <c r="D9" s="1003"/>
      <c r="E9" s="438" t="s">
        <v>181</v>
      </c>
      <c r="F9" s="434" t="s">
        <v>49</v>
      </c>
      <c r="G9" s="421">
        <f>'اسعار الخامات'!E25/18</f>
        <v>2</v>
      </c>
      <c r="H9" s="434">
        <v>1</v>
      </c>
      <c r="I9" s="441">
        <v>0.05</v>
      </c>
      <c r="J9" s="437">
        <f t="shared" si="0"/>
        <v>2.1</v>
      </c>
      <c r="K9" s="34"/>
      <c r="M9" s="799" t="s">
        <v>949</v>
      </c>
    </row>
    <row r="10" spans="1:13" ht="57.75" customHeight="1" x14ac:dyDescent="0.25">
      <c r="B10" s="190"/>
      <c r="C10" s="1002"/>
      <c r="D10" s="1003"/>
      <c r="E10" s="438" t="s">
        <v>182</v>
      </c>
      <c r="F10" s="434" t="s">
        <v>58</v>
      </c>
      <c r="G10" s="417">
        <f>'اسعار الخامات'!E24/10</f>
        <v>7</v>
      </c>
      <c r="H10" s="434">
        <f>1/5</f>
        <v>0.2</v>
      </c>
      <c r="I10" s="441">
        <v>0.05</v>
      </c>
      <c r="J10" s="437">
        <f t="shared" si="0"/>
        <v>1.4700000000000002</v>
      </c>
      <c r="M10" s="799" t="s">
        <v>950</v>
      </c>
    </row>
    <row r="11" spans="1:13" ht="57.75" customHeight="1" x14ac:dyDescent="0.25">
      <c r="B11" s="190"/>
      <c r="C11" s="1002"/>
      <c r="D11" s="1003"/>
      <c r="E11" s="438" t="s">
        <v>212</v>
      </c>
      <c r="F11" s="434" t="s">
        <v>58</v>
      </c>
      <c r="G11" s="417">
        <f>'اسعار الخامات'!E24/10</f>
        <v>7</v>
      </c>
      <c r="H11" s="440">
        <f>1/7</f>
        <v>0.14285714285714285</v>
      </c>
      <c r="I11" s="441">
        <v>0.05</v>
      </c>
      <c r="J11" s="437">
        <f>H11*G11+(I11*H11*G11)</f>
        <v>1.05</v>
      </c>
      <c r="M11" s="799" t="s">
        <v>951</v>
      </c>
    </row>
    <row r="12" spans="1:13" ht="28.5" x14ac:dyDescent="0.25">
      <c r="B12" s="190"/>
      <c r="C12" s="1002"/>
      <c r="D12" s="1003"/>
      <c r="E12" s="438" t="s">
        <v>183</v>
      </c>
      <c r="F12" s="434" t="s">
        <v>58</v>
      </c>
      <c r="G12" s="417">
        <f>'اسعار الخامات'!E24/10</f>
        <v>7</v>
      </c>
      <c r="H12" s="440">
        <f>1/7</f>
        <v>0.14285714285714285</v>
      </c>
      <c r="I12" s="441">
        <v>0.05</v>
      </c>
      <c r="J12" s="437">
        <f t="shared" si="0"/>
        <v>1.05</v>
      </c>
    </row>
    <row r="13" spans="1:13" ht="28.5" x14ac:dyDescent="0.25">
      <c r="A13" s="185" t="s">
        <v>206</v>
      </c>
      <c r="B13" s="190"/>
      <c r="C13" s="1002"/>
      <c r="D13" s="1003" t="s">
        <v>11</v>
      </c>
      <c r="E13" s="438" t="s">
        <v>57</v>
      </c>
      <c r="F13" s="1038" t="s">
        <v>45</v>
      </c>
      <c r="G13" s="1037">
        <f>'اسعار المصنعيات'!D24</f>
        <v>8</v>
      </c>
      <c r="H13" s="1038">
        <v>1</v>
      </c>
      <c r="I13" s="1038">
        <v>0</v>
      </c>
      <c r="J13" s="1082">
        <f t="shared" si="0"/>
        <v>8</v>
      </c>
    </row>
    <row r="14" spans="1:13" ht="28.5" x14ac:dyDescent="0.25">
      <c r="B14" s="190"/>
      <c r="C14" s="1002"/>
      <c r="D14" s="1003"/>
      <c r="E14" s="438" t="s">
        <v>50</v>
      </c>
      <c r="F14" s="1038"/>
      <c r="G14" s="1037"/>
      <c r="H14" s="1038"/>
      <c r="I14" s="1038"/>
      <c r="J14" s="1082"/>
    </row>
    <row r="15" spans="1:13" ht="28.5" x14ac:dyDescent="0.25">
      <c r="B15" s="190"/>
      <c r="C15" s="1002"/>
      <c r="D15" s="1003"/>
      <c r="E15" s="438" t="s">
        <v>55</v>
      </c>
      <c r="F15" s="1038"/>
      <c r="G15" s="1037"/>
      <c r="H15" s="1038"/>
      <c r="I15" s="1038"/>
      <c r="J15" s="1082"/>
    </row>
    <row r="16" spans="1:13" s="469" customFormat="1" ht="50.25" customHeight="1" x14ac:dyDescent="0.25">
      <c r="B16" s="466"/>
      <c r="C16" s="1036" t="s">
        <v>13</v>
      </c>
      <c r="D16" s="1036"/>
      <c r="E16" s="1036"/>
      <c r="F16" s="1036"/>
      <c r="G16" s="1036"/>
      <c r="H16" s="1036"/>
      <c r="I16" s="1036"/>
      <c r="J16" s="468">
        <f>SUM(J7:J15)</f>
        <v>16.93</v>
      </c>
      <c r="K16" s="468">
        <f>J16*1.25</f>
        <v>21.162500000000001</v>
      </c>
    </row>
    <row r="17" spans="1:11" s="34" customFormat="1" ht="24.75" customHeight="1" x14ac:dyDescent="0.25">
      <c r="A17" s="185"/>
      <c r="B17" s="185"/>
      <c r="C17" s="3"/>
      <c r="D17" s="3"/>
      <c r="E17" s="3"/>
      <c r="F17" s="3"/>
      <c r="G17" s="3"/>
      <c r="H17" s="3"/>
      <c r="I17" s="3"/>
      <c r="J17" s="3"/>
    </row>
    <row r="18" spans="1:11" s="34" customFormat="1" ht="69.75" customHeight="1" x14ac:dyDescent="0.25">
      <c r="B18" s="186" t="s">
        <v>0</v>
      </c>
      <c r="C18" s="414" t="s">
        <v>1</v>
      </c>
      <c r="D18" s="997" t="s">
        <v>2</v>
      </c>
      <c r="E18" s="997"/>
      <c r="F18" s="414" t="s">
        <v>3</v>
      </c>
      <c r="G18" s="414" t="s">
        <v>4</v>
      </c>
      <c r="H18" s="414" t="s">
        <v>5</v>
      </c>
      <c r="I18" s="414" t="s">
        <v>6</v>
      </c>
      <c r="J18" s="415" t="s">
        <v>7</v>
      </c>
    </row>
    <row r="19" spans="1:11" ht="28.5" x14ac:dyDescent="0.25">
      <c r="A19" s="34"/>
      <c r="B19" s="191">
        <v>1</v>
      </c>
      <c r="C19" s="1010" t="s">
        <v>452</v>
      </c>
      <c r="D19" s="1009" t="s">
        <v>14</v>
      </c>
      <c r="E19" s="427" t="s">
        <v>179</v>
      </c>
      <c r="F19" s="428" t="s">
        <v>49</v>
      </c>
      <c r="G19" s="428">
        <v>0.5</v>
      </c>
      <c r="H19" s="428">
        <v>0.2</v>
      </c>
      <c r="I19" s="430">
        <v>0.1</v>
      </c>
      <c r="J19" s="431">
        <f t="shared" ref="J19:J26" si="1">H19*G19+(I19*H19*G19)</f>
        <v>0.11000000000000001</v>
      </c>
    </row>
    <row r="20" spans="1:11" ht="28.5" x14ac:dyDescent="0.25">
      <c r="A20" s="34"/>
      <c r="B20" s="191"/>
      <c r="C20" s="1010"/>
      <c r="D20" s="1009"/>
      <c r="E20" s="427" t="s">
        <v>180</v>
      </c>
      <c r="F20" s="428" t="s">
        <v>49</v>
      </c>
      <c r="G20" s="431">
        <f>'اسعار الخامات'!E25/18</f>
        <v>2</v>
      </c>
      <c r="H20" s="428">
        <v>1.5</v>
      </c>
      <c r="I20" s="430">
        <v>0.05</v>
      </c>
      <c r="J20" s="431">
        <f t="shared" si="1"/>
        <v>3.15</v>
      </c>
    </row>
    <row r="21" spans="1:11" ht="28.5" x14ac:dyDescent="0.25">
      <c r="A21" s="34"/>
      <c r="B21" s="191"/>
      <c r="C21" s="1010"/>
      <c r="D21" s="1009"/>
      <c r="E21" s="427" t="s">
        <v>181</v>
      </c>
      <c r="F21" s="428" t="s">
        <v>49</v>
      </c>
      <c r="G21" s="431">
        <f>'اسعار الخامات'!E25/18</f>
        <v>2</v>
      </c>
      <c r="H21" s="428">
        <v>1</v>
      </c>
      <c r="I21" s="430">
        <v>0.05</v>
      </c>
      <c r="J21" s="431">
        <f t="shared" si="1"/>
        <v>2.1</v>
      </c>
    </row>
    <row r="22" spans="1:11" ht="28.5" x14ac:dyDescent="0.25">
      <c r="A22" s="34"/>
      <c r="B22" s="191"/>
      <c r="C22" s="1010"/>
      <c r="D22" s="1009"/>
      <c r="E22" s="427" t="s">
        <v>453</v>
      </c>
      <c r="F22" s="428" t="s">
        <v>49</v>
      </c>
      <c r="G22" s="431">
        <v>2</v>
      </c>
      <c r="H22" s="428">
        <v>1</v>
      </c>
      <c r="I22" s="430">
        <v>0.05</v>
      </c>
      <c r="J22" s="431">
        <f t="shared" si="1"/>
        <v>2.1</v>
      </c>
    </row>
    <row r="23" spans="1:11" ht="28.5" x14ac:dyDescent="0.25">
      <c r="A23" s="34"/>
      <c r="B23" s="191"/>
      <c r="C23" s="1010"/>
      <c r="D23" s="1009"/>
      <c r="E23" s="427" t="s">
        <v>182</v>
      </c>
      <c r="F23" s="428" t="s">
        <v>49</v>
      </c>
      <c r="G23" s="428">
        <f>G10</f>
        <v>7</v>
      </c>
      <c r="H23" s="428">
        <f>1/5</f>
        <v>0.2</v>
      </c>
      <c r="I23" s="430">
        <v>0.05</v>
      </c>
      <c r="J23" s="431">
        <f t="shared" si="1"/>
        <v>1.4700000000000002</v>
      </c>
    </row>
    <row r="24" spans="1:11" ht="28.5" x14ac:dyDescent="0.25">
      <c r="A24" s="34"/>
      <c r="B24" s="191"/>
      <c r="C24" s="1010"/>
      <c r="D24" s="1009"/>
      <c r="E24" s="427" t="s">
        <v>212</v>
      </c>
      <c r="F24" s="428" t="s">
        <v>49</v>
      </c>
      <c r="G24" s="881">
        <f t="shared" ref="G24:G25" si="2">G11</f>
        <v>7</v>
      </c>
      <c r="H24" s="435">
        <v>0.2</v>
      </c>
      <c r="I24" s="430">
        <v>0.05</v>
      </c>
      <c r="J24" s="431">
        <f t="shared" si="1"/>
        <v>1.4700000000000002</v>
      </c>
    </row>
    <row r="25" spans="1:11" ht="28.5" x14ac:dyDescent="0.25">
      <c r="A25" s="34"/>
      <c r="B25" s="191"/>
      <c r="C25" s="1010"/>
      <c r="D25" s="1009"/>
      <c r="E25" s="427" t="s">
        <v>183</v>
      </c>
      <c r="F25" s="428" t="s">
        <v>49</v>
      </c>
      <c r="G25" s="881">
        <f t="shared" si="2"/>
        <v>7</v>
      </c>
      <c r="H25" s="435">
        <v>0.2</v>
      </c>
      <c r="I25" s="430">
        <v>0.05</v>
      </c>
      <c r="J25" s="431">
        <f t="shared" si="1"/>
        <v>1.4700000000000002</v>
      </c>
    </row>
    <row r="26" spans="1:11" ht="28.5" x14ac:dyDescent="0.25">
      <c r="A26" s="34" t="s">
        <v>206</v>
      </c>
      <c r="B26" s="191"/>
      <c r="C26" s="1010"/>
      <c r="D26" s="1009" t="s">
        <v>11</v>
      </c>
      <c r="E26" s="427" t="s">
        <v>57</v>
      </c>
      <c r="F26" s="1050" t="s">
        <v>45</v>
      </c>
      <c r="G26" s="1050">
        <f>'اسعار المصنعيات'!D24</f>
        <v>8</v>
      </c>
      <c r="H26" s="1050">
        <v>1</v>
      </c>
      <c r="I26" s="1050">
        <v>0</v>
      </c>
      <c r="J26" s="1084">
        <f t="shared" si="1"/>
        <v>8</v>
      </c>
    </row>
    <row r="27" spans="1:11" ht="28.5" x14ac:dyDescent="0.25">
      <c r="A27" s="34"/>
      <c r="B27" s="191"/>
      <c r="C27" s="1010"/>
      <c r="D27" s="1009"/>
      <c r="E27" s="427" t="s">
        <v>50</v>
      </c>
      <c r="F27" s="1050"/>
      <c r="G27" s="1050"/>
      <c r="H27" s="1050"/>
      <c r="I27" s="1050"/>
      <c r="J27" s="1084"/>
    </row>
    <row r="28" spans="1:11" ht="28.5" x14ac:dyDescent="0.25">
      <c r="A28" s="34"/>
      <c r="B28" s="191"/>
      <c r="C28" s="1010"/>
      <c r="D28" s="1009"/>
      <c r="E28" s="427" t="s">
        <v>55</v>
      </c>
      <c r="F28" s="1050"/>
      <c r="G28" s="1050"/>
      <c r="H28" s="1050"/>
      <c r="I28" s="1050"/>
      <c r="J28" s="1084"/>
    </row>
    <row r="29" spans="1:11" s="469" customFormat="1" ht="50.25" customHeight="1" x14ac:dyDescent="0.25">
      <c r="B29" s="466"/>
      <c r="C29" s="1036" t="s">
        <v>13</v>
      </c>
      <c r="D29" s="1036"/>
      <c r="E29" s="1036"/>
      <c r="F29" s="1036"/>
      <c r="G29" s="1036"/>
      <c r="H29" s="1036"/>
      <c r="I29" s="1036"/>
      <c r="J29" s="468">
        <f>SUM(J19:J28)</f>
        <v>19.87</v>
      </c>
      <c r="K29" s="468">
        <f>J29*1.25</f>
        <v>24.837500000000002</v>
      </c>
    </row>
    <row r="30" spans="1:11" ht="35.1" customHeight="1" x14ac:dyDescent="0.25">
      <c r="B30" s="185"/>
      <c r="D30" s="3"/>
      <c r="F30" s="3"/>
      <c r="G30" s="3"/>
      <c r="H30" s="3"/>
      <c r="I30" s="3"/>
      <c r="J30" s="3"/>
    </row>
    <row r="31" spans="1:11" ht="35.1" customHeight="1" x14ac:dyDescent="0.25">
      <c r="B31" s="185"/>
      <c r="D31" s="3"/>
      <c r="F31" s="3"/>
      <c r="G31" s="3"/>
      <c r="H31" s="3"/>
      <c r="I31" s="3"/>
      <c r="J31" s="3"/>
    </row>
    <row r="32" spans="1:11" ht="35.1" customHeight="1" x14ac:dyDescent="0.25">
      <c r="B32" s="185"/>
      <c r="D32" s="3"/>
      <c r="F32" s="3"/>
      <c r="G32" s="3"/>
      <c r="H32" s="3"/>
      <c r="I32" s="3"/>
      <c r="J32" s="3"/>
    </row>
    <row r="33" spans="2:10" ht="35.1" customHeight="1" x14ac:dyDescent="0.25">
      <c r="B33" s="185"/>
      <c r="D33" s="3"/>
      <c r="F33" s="3"/>
      <c r="G33" s="3"/>
      <c r="H33" s="3"/>
      <c r="I33" s="3"/>
      <c r="J33" s="3"/>
    </row>
    <row r="34" spans="2:10" ht="35.1" customHeight="1" x14ac:dyDescent="0.25">
      <c r="B34" s="185"/>
      <c r="D34" s="3"/>
      <c r="F34" s="3"/>
      <c r="G34" s="3"/>
      <c r="H34" s="3"/>
      <c r="I34" s="3"/>
      <c r="J34" s="3"/>
    </row>
    <row r="35" spans="2:10" ht="35.1" customHeight="1" x14ac:dyDescent="0.25">
      <c r="B35" s="185"/>
      <c r="D35" s="3"/>
      <c r="F35" s="3"/>
      <c r="G35" s="3"/>
      <c r="H35" s="3"/>
      <c r="I35" s="3"/>
      <c r="J35" s="3"/>
    </row>
    <row r="36" spans="2:10" ht="35.1" customHeight="1" x14ac:dyDescent="0.25">
      <c r="B36" s="185"/>
      <c r="D36" s="3"/>
      <c r="F36" s="3"/>
      <c r="G36" s="3"/>
      <c r="H36" s="3"/>
      <c r="I36" s="3"/>
      <c r="J36" s="3"/>
    </row>
    <row r="37" spans="2:10" ht="35.1" customHeight="1" x14ac:dyDescent="0.25">
      <c r="B37" s="185"/>
      <c r="D37" s="3"/>
      <c r="F37" s="3"/>
      <c r="G37" s="3"/>
      <c r="H37" s="3"/>
      <c r="I37" s="3"/>
      <c r="J37" s="3"/>
    </row>
    <row r="38" spans="2:10" ht="35.1" customHeight="1" x14ac:dyDescent="0.25">
      <c r="B38" s="185"/>
      <c r="D38" s="3"/>
      <c r="F38" s="3"/>
      <c r="G38" s="3"/>
      <c r="H38" s="3"/>
      <c r="I38" s="3"/>
      <c r="J38" s="3"/>
    </row>
    <row r="39" spans="2:10" ht="35.1" customHeight="1" x14ac:dyDescent="0.25">
      <c r="B39" s="185"/>
      <c r="D39" s="3"/>
      <c r="F39" s="3"/>
      <c r="G39" s="3"/>
      <c r="H39" s="3"/>
      <c r="I39" s="3"/>
      <c r="J39" s="3"/>
    </row>
    <row r="40" spans="2:10" ht="35.1" customHeight="1" x14ac:dyDescent="0.25">
      <c r="B40" s="185"/>
      <c r="D40" s="3"/>
      <c r="F40" s="3"/>
      <c r="G40" s="3"/>
      <c r="H40" s="3"/>
      <c r="I40" s="3"/>
      <c r="J40" s="3"/>
    </row>
    <row r="41" spans="2:10" ht="35.1" customHeight="1" x14ac:dyDescent="0.25">
      <c r="B41" s="185"/>
      <c r="D41" s="3"/>
      <c r="F41" s="3"/>
      <c r="G41" s="3"/>
      <c r="H41" s="3"/>
      <c r="I41" s="3"/>
      <c r="J41" s="3"/>
    </row>
    <row r="42" spans="2:10" ht="35.1" customHeight="1" x14ac:dyDescent="0.25">
      <c r="B42" s="185"/>
      <c r="D42" s="3"/>
      <c r="F42" s="3"/>
      <c r="G42" s="3"/>
      <c r="H42" s="3"/>
      <c r="I42" s="3"/>
      <c r="J42" s="3"/>
    </row>
    <row r="43" spans="2:10" ht="35.1" customHeight="1" x14ac:dyDescent="0.25">
      <c r="B43" s="185"/>
      <c r="D43" s="3"/>
      <c r="F43" s="3"/>
      <c r="G43" s="3"/>
      <c r="H43" s="3"/>
      <c r="I43" s="3"/>
      <c r="J43" s="3"/>
    </row>
    <row r="44" spans="2:10" ht="35.1" customHeight="1" x14ac:dyDescent="0.25">
      <c r="B44" s="185"/>
      <c r="D44" s="3"/>
      <c r="F44" s="3"/>
      <c r="G44" s="3"/>
      <c r="H44" s="3"/>
      <c r="I44" s="3"/>
      <c r="J44" s="3"/>
    </row>
    <row r="45" spans="2:10" ht="35.1" customHeight="1" x14ac:dyDescent="0.25">
      <c r="B45" s="185"/>
      <c r="D45" s="3"/>
      <c r="F45" s="3"/>
      <c r="G45" s="3"/>
      <c r="H45" s="3"/>
      <c r="I45" s="3"/>
      <c r="J45" s="3"/>
    </row>
    <row r="46" spans="2:10" ht="35.1" customHeight="1" x14ac:dyDescent="0.25">
      <c r="B46" s="185"/>
      <c r="D46" s="3"/>
      <c r="F46" s="3"/>
      <c r="G46" s="3"/>
      <c r="H46" s="3"/>
      <c r="I46" s="3"/>
      <c r="J46" s="3"/>
    </row>
    <row r="47" spans="2:10" ht="35.1" customHeight="1" x14ac:dyDescent="0.25">
      <c r="B47" s="185"/>
      <c r="D47" s="3"/>
      <c r="F47" s="3"/>
      <c r="G47" s="3"/>
      <c r="H47" s="3"/>
      <c r="I47" s="3"/>
      <c r="J47" s="3"/>
    </row>
    <row r="48" spans="2:10" ht="35.1" customHeight="1" x14ac:dyDescent="0.25">
      <c r="B48" s="185"/>
      <c r="D48" s="3"/>
      <c r="F48" s="3"/>
      <c r="G48" s="3"/>
      <c r="H48" s="3"/>
      <c r="I48" s="3"/>
      <c r="J48" s="3"/>
    </row>
    <row r="49" spans="2:10" ht="35.1" customHeight="1" x14ac:dyDescent="0.25">
      <c r="B49" s="185"/>
      <c r="D49" s="3"/>
      <c r="F49" s="3"/>
      <c r="G49" s="3"/>
      <c r="H49" s="3"/>
      <c r="I49" s="3"/>
      <c r="J49" s="3"/>
    </row>
    <row r="50" spans="2:10" ht="35.1" customHeight="1" x14ac:dyDescent="0.25">
      <c r="B50" s="185"/>
      <c r="D50" s="3"/>
      <c r="F50" s="3"/>
      <c r="G50" s="3"/>
      <c r="H50" s="3"/>
      <c r="I50" s="3"/>
      <c r="J50" s="3"/>
    </row>
    <row r="51" spans="2:10" ht="35.1" customHeight="1" x14ac:dyDescent="0.25">
      <c r="B51" s="185"/>
      <c r="D51" s="3"/>
      <c r="F51" s="3"/>
      <c r="G51" s="3"/>
      <c r="H51" s="3"/>
      <c r="I51" s="3"/>
      <c r="J51" s="3"/>
    </row>
    <row r="52" spans="2:10" ht="35.1" customHeight="1" x14ac:dyDescent="0.25">
      <c r="B52" s="185"/>
      <c r="D52" s="3"/>
      <c r="F52" s="3"/>
      <c r="G52" s="3"/>
      <c r="H52" s="3"/>
      <c r="I52" s="3"/>
      <c r="J52" s="3"/>
    </row>
    <row r="53" spans="2:10" ht="35.1" customHeight="1" x14ac:dyDescent="0.25">
      <c r="B53" s="185"/>
      <c r="D53" s="3"/>
      <c r="F53" s="3"/>
      <c r="G53" s="3"/>
      <c r="H53" s="3"/>
      <c r="I53" s="3"/>
      <c r="J53" s="3"/>
    </row>
    <row r="54" spans="2:10" ht="35.1" customHeight="1" x14ac:dyDescent="0.25">
      <c r="B54" s="185"/>
      <c r="D54" s="3"/>
      <c r="F54" s="3"/>
      <c r="G54" s="3"/>
      <c r="H54" s="3"/>
      <c r="I54" s="3"/>
      <c r="J54" s="3"/>
    </row>
    <row r="55" spans="2:10" ht="35.1" customHeight="1" x14ac:dyDescent="0.25">
      <c r="B55" s="185"/>
      <c r="D55" s="3"/>
      <c r="F55" s="3"/>
      <c r="G55" s="3"/>
      <c r="H55" s="3"/>
      <c r="I55" s="3"/>
      <c r="J55" s="3"/>
    </row>
    <row r="56" spans="2:10" ht="35.1" customHeight="1" x14ac:dyDescent="0.25">
      <c r="B56" s="185"/>
      <c r="D56" s="3"/>
      <c r="F56" s="3"/>
      <c r="G56" s="3"/>
      <c r="H56" s="3"/>
      <c r="I56" s="3"/>
      <c r="J56" s="3"/>
    </row>
    <row r="57" spans="2:10" ht="35.1" customHeight="1" x14ac:dyDescent="0.25">
      <c r="B57" s="185"/>
      <c r="D57" s="3"/>
      <c r="F57" s="3"/>
      <c r="G57" s="3"/>
      <c r="H57" s="3"/>
      <c r="I57" s="3"/>
      <c r="J57" s="3"/>
    </row>
    <row r="58" spans="2:10" ht="35.1" customHeight="1" x14ac:dyDescent="0.25">
      <c r="B58" s="185"/>
      <c r="D58" s="3"/>
      <c r="F58" s="3"/>
      <c r="G58" s="3"/>
      <c r="H58" s="3"/>
      <c r="I58" s="3"/>
      <c r="J58" s="3"/>
    </row>
    <row r="59" spans="2:10" ht="35.1" customHeight="1" x14ac:dyDescent="0.25">
      <c r="B59" s="185"/>
      <c r="D59" s="3"/>
      <c r="F59" s="3"/>
      <c r="G59" s="3"/>
      <c r="H59" s="3"/>
      <c r="I59" s="3"/>
      <c r="J59" s="3"/>
    </row>
    <row r="60" spans="2:10" ht="35.1" customHeight="1" x14ac:dyDescent="0.25">
      <c r="B60" s="185"/>
      <c r="D60" s="3"/>
      <c r="F60" s="3"/>
      <c r="G60" s="3"/>
      <c r="H60" s="3"/>
      <c r="I60" s="3"/>
      <c r="J60" s="3"/>
    </row>
    <row r="61" spans="2:10" ht="35.1" customHeight="1" x14ac:dyDescent="0.25">
      <c r="B61" s="185"/>
      <c r="D61" s="3"/>
      <c r="F61" s="3"/>
      <c r="G61" s="3"/>
      <c r="H61" s="3"/>
      <c r="I61" s="3"/>
      <c r="J61" s="3"/>
    </row>
    <row r="62" spans="2:10" ht="35.1" customHeight="1" x14ac:dyDescent="0.25">
      <c r="B62" s="185"/>
      <c r="D62" s="3"/>
      <c r="F62" s="3"/>
      <c r="G62" s="3"/>
      <c r="H62" s="3"/>
      <c r="I62" s="3"/>
      <c r="J62" s="3"/>
    </row>
    <row r="63" spans="2:10" ht="35.1" customHeight="1" x14ac:dyDescent="0.25">
      <c r="B63" s="185"/>
      <c r="D63" s="3"/>
      <c r="F63" s="3"/>
      <c r="G63" s="3"/>
      <c r="H63" s="3"/>
      <c r="I63" s="3"/>
      <c r="J63" s="3"/>
    </row>
    <row r="64" spans="2:10" ht="35.1" customHeight="1" x14ac:dyDescent="0.25">
      <c r="B64" s="185"/>
      <c r="D64" s="3"/>
      <c r="F64" s="3"/>
      <c r="G64" s="3"/>
      <c r="H64" s="3"/>
      <c r="I64" s="3"/>
      <c r="J64" s="3"/>
    </row>
    <row r="65" spans="2:10" ht="35.1" customHeight="1" x14ac:dyDescent="0.25">
      <c r="B65" s="185"/>
      <c r="D65" s="3"/>
      <c r="F65" s="3"/>
      <c r="G65" s="3"/>
      <c r="H65" s="3"/>
      <c r="I65" s="3"/>
      <c r="J65" s="3"/>
    </row>
    <row r="66" spans="2:10" ht="35.1" customHeight="1" x14ac:dyDescent="0.25">
      <c r="B66" s="185"/>
      <c r="D66" s="3"/>
      <c r="F66" s="3"/>
      <c r="G66" s="3"/>
      <c r="H66" s="3"/>
      <c r="I66" s="3"/>
      <c r="J66" s="3"/>
    </row>
    <row r="67" spans="2:10" ht="35.1" customHeight="1" x14ac:dyDescent="0.25">
      <c r="B67" s="185"/>
      <c r="D67" s="3"/>
      <c r="F67" s="3"/>
      <c r="G67" s="3"/>
      <c r="H67" s="3"/>
      <c r="I67" s="3"/>
      <c r="J67" s="3"/>
    </row>
    <row r="68" spans="2:10" ht="35.1" customHeight="1" x14ac:dyDescent="0.25">
      <c r="B68" s="185"/>
      <c r="D68" s="3"/>
      <c r="F68" s="3"/>
      <c r="G68" s="3"/>
      <c r="H68" s="3"/>
      <c r="I68" s="3"/>
      <c r="J68" s="3"/>
    </row>
    <row r="69" spans="2:10" ht="35.1" customHeight="1" x14ac:dyDescent="0.25">
      <c r="B69" s="185"/>
      <c r="D69" s="3"/>
      <c r="F69" s="3"/>
      <c r="G69" s="3"/>
      <c r="H69" s="3"/>
      <c r="I69" s="3"/>
      <c r="J69" s="3"/>
    </row>
    <row r="70" spans="2:10" ht="35.1" customHeight="1" x14ac:dyDescent="0.25">
      <c r="B70" s="185"/>
      <c r="D70" s="3"/>
      <c r="F70" s="3"/>
      <c r="G70" s="3"/>
      <c r="H70" s="3"/>
      <c r="I70" s="3"/>
      <c r="J70" s="3"/>
    </row>
    <row r="71" spans="2:10" ht="35.1" customHeight="1" x14ac:dyDescent="0.25">
      <c r="B71" s="185"/>
      <c r="D71" s="3"/>
      <c r="F71" s="3"/>
      <c r="G71" s="3"/>
      <c r="H71" s="3"/>
      <c r="I71" s="3"/>
      <c r="J71" s="3"/>
    </row>
    <row r="72" spans="2:10" ht="35.1" customHeight="1" x14ac:dyDescent="0.25">
      <c r="B72" s="185"/>
      <c r="D72" s="3"/>
      <c r="F72" s="3"/>
      <c r="G72" s="3"/>
      <c r="H72" s="3"/>
      <c r="I72" s="3"/>
      <c r="J72" s="3"/>
    </row>
    <row r="73" spans="2:10" ht="35.1" customHeight="1" x14ac:dyDescent="0.25">
      <c r="B73" s="185"/>
      <c r="D73" s="3"/>
      <c r="F73" s="3"/>
      <c r="G73" s="3"/>
      <c r="H73" s="3"/>
      <c r="I73" s="3"/>
      <c r="J73" s="3"/>
    </row>
    <row r="74" spans="2:10" ht="35.1" customHeight="1" x14ac:dyDescent="0.25">
      <c r="B74" s="185"/>
      <c r="D74" s="3"/>
      <c r="F74" s="3"/>
      <c r="G74" s="3"/>
      <c r="H74" s="3"/>
      <c r="I74" s="3"/>
      <c r="J74" s="3"/>
    </row>
    <row r="75" spans="2:10" ht="35.1" customHeight="1" x14ac:dyDescent="0.25">
      <c r="B75" s="185"/>
      <c r="D75" s="3"/>
      <c r="F75" s="3"/>
      <c r="G75" s="3"/>
      <c r="H75" s="3"/>
      <c r="I75" s="3"/>
      <c r="J75" s="3"/>
    </row>
    <row r="76" spans="2:10" ht="35.1" customHeight="1" x14ac:dyDescent="0.25">
      <c r="B76" s="185"/>
      <c r="D76" s="3"/>
      <c r="F76" s="3"/>
      <c r="G76" s="3"/>
      <c r="H76" s="3"/>
      <c r="I76" s="3"/>
      <c r="J76" s="3"/>
    </row>
    <row r="77" spans="2:10" ht="35.1" customHeight="1" x14ac:dyDescent="0.25">
      <c r="B77" s="185"/>
      <c r="D77" s="3"/>
      <c r="F77" s="3"/>
      <c r="G77" s="3"/>
      <c r="H77" s="3"/>
      <c r="I77" s="3"/>
      <c r="J77" s="3"/>
    </row>
    <row r="78" spans="2:10" ht="35.1" customHeight="1" x14ac:dyDescent="0.25">
      <c r="B78" s="185"/>
      <c r="D78" s="3"/>
      <c r="F78" s="3"/>
      <c r="G78" s="3"/>
      <c r="H78" s="3"/>
      <c r="I78" s="3"/>
      <c r="J78" s="3"/>
    </row>
    <row r="79" spans="2:10" ht="35.1" customHeight="1" x14ac:dyDescent="0.25">
      <c r="B79" s="185"/>
      <c r="D79" s="3"/>
      <c r="F79" s="3"/>
      <c r="G79" s="3"/>
      <c r="H79" s="3"/>
      <c r="I79" s="3"/>
      <c r="J79" s="3"/>
    </row>
    <row r="80" spans="2:10" ht="35.1" customHeight="1" x14ac:dyDescent="0.25">
      <c r="B80" s="185"/>
      <c r="D80" s="3"/>
      <c r="F80" s="3"/>
      <c r="G80" s="3"/>
      <c r="H80" s="3"/>
      <c r="I80" s="3"/>
      <c r="J80" s="3"/>
    </row>
    <row r="81" spans="2:10" ht="35.1" customHeight="1" x14ac:dyDescent="0.25">
      <c r="B81" s="185"/>
      <c r="D81" s="3"/>
      <c r="F81" s="3"/>
      <c r="G81" s="3"/>
      <c r="H81" s="3"/>
      <c r="I81" s="3"/>
      <c r="J81" s="3"/>
    </row>
    <row r="82" spans="2:10" ht="35.1" customHeight="1" x14ac:dyDescent="0.25">
      <c r="B82" s="185"/>
      <c r="D82" s="3"/>
      <c r="F82" s="3"/>
      <c r="G82" s="3"/>
      <c r="H82" s="3"/>
      <c r="I82" s="3"/>
      <c r="J82" s="3"/>
    </row>
    <row r="83" spans="2:10" ht="35.1" customHeight="1" x14ac:dyDescent="0.25">
      <c r="B83" s="185"/>
      <c r="D83" s="3"/>
      <c r="F83" s="3"/>
      <c r="G83" s="3"/>
      <c r="H83" s="3"/>
      <c r="I83" s="3"/>
      <c r="J83" s="3"/>
    </row>
    <row r="84" spans="2:10" ht="35.1" customHeight="1" x14ac:dyDescent="0.25">
      <c r="B84" s="185"/>
      <c r="D84" s="3"/>
      <c r="F84" s="3"/>
      <c r="G84" s="3"/>
      <c r="H84" s="3"/>
      <c r="I84" s="3"/>
      <c r="J84" s="3"/>
    </row>
    <row r="85" spans="2:10" ht="35.1" customHeight="1" x14ac:dyDescent="0.25">
      <c r="B85" s="185"/>
      <c r="D85" s="3"/>
      <c r="F85" s="3"/>
      <c r="G85" s="3"/>
      <c r="H85" s="3"/>
      <c r="I85" s="3"/>
      <c r="J85" s="3"/>
    </row>
    <row r="86" spans="2:10" ht="35.1" customHeight="1" x14ac:dyDescent="0.25">
      <c r="B86" s="185"/>
      <c r="D86" s="3"/>
      <c r="F86" s="3"/>
      <c r="G86" s="3"/>
      <c r="H86" s="3"/>
      <c r="I86" s="3"/>
      <c r="J86" s="3"/>
    </row>
    <row r="87" spans="2:10" ht="35.1" customHeight="1" x14ac:dyDescent="0.25">
      <c r="B87" s="185"/>
      <c r="D87" s="3"/>
      <c r="F87" s="3"/>
      <c r="G87" s="3"/>
      <c r="H87" s="3"/>
      <c r="I87" s="3"/>
      <c r="J87" s="3"/>
    </row>
    <row r="88" spans="2:10" ht="35.1" customHeight="1" x14ac:dyDescent="0.25">
      <c r="B88" s="185"/>
      <c r="D88" s="3"/>
      <c r="F88" s="3"/>
      <c r="G88" s="3"/>
      <c r="H88" s="3"/>
      <c r="I88" s="3"/>
      <c r="J88" s="3"/>
    </row>
    <row r="89" spans="2:10" ht="35.1" customHeight="1" x14ac:dyDescent="0.25">
      <c r="B89" s="185"/>
      <c r="D89" s="3"/>
      <c r="F89" s="3"/>
      <c r="G89" s="3"/>
      <c r="H89" s="3"/>
      <c r="I89" s="3"/>
      <c r="J89" s="3"/>
    </row>
  </sheetData>
  <mergeCells count="23">
    <mergeCell ref="J26:J28"/>
    <mergeCell ref="C29:I29"/>
    <mergeCell ref="C16:I16"/>
    <mergeCell ref="C19:C28"/>
    <mergeCell ref="D19:D25"/>
    <mergeCell ref="D26:D28"/>
    <mergeCell ref="F26:F28"/>
    <mergeCell ref="G26:G28"/>
    <mergeCell ref="H26:H28"/>
    <mergeCell ref="I26:I28"/>
    <mergeCell ref="D18:E18"/>
    <mergeCell ref="B1:J1"/>
    <mergeCell ref="B2:J2"/>
    <mergeCell ref="D6:E6"/>
    <mergeCell ref="C7:C15"/>
    <mergeCell ref="D7:D12"/>
    <mergeCell ref="D13:D15"/>
    <mergeCell ref="F13:F15"/>
    <mergeCell ref="G13:G15"/>
    <mergeCell ref="H13:H15"/>
    <mergeCell ref="I13:I15"/>
    <mergeCell ref="J13:J15"/>
    <mergeCell ref="E4:G4"/>
  </mergeCells>
  <hyperlinks>
    <hyperlink ref="K4" location="cover!A1" display="cover!A1" xr:uid="{00000000-0004-0000-0700-000000000000}"/>
  </hyperlinks>
  <printOptions horizontalCentered="1" verticalCentered="1"/>
  <pageMargins left="0" right="0.23622047244094491" top="0" bottom="0" header="0.31496062992125984" footer="0.31496062992125984"/>
  <pageSetup paperSize="9" scale="93" orientation="landscape" r:id="rId1"/>
  <headerFooter>
    <oddFooter>&amp;L&amp;P&amp;Cتحليل اسعار بنود الاعمال مشروع امواج &amp;R&amp;D</oddFooter>
  </headerFooter>
  <rowBreaks count="1" manualBreakCount="1">
    <brk id="3" min="1" max="9" man="1"/>
  </rowBreaks>
  <colBreaks count="1" manualBreakCount="1">
    <brk id="1" max="240"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3" tint="0.79998168889431442"/>
    <pageSetUpPr fitToPage="1"/>
  </sheetPr>
  <dimension ref="A1:K126"/>
  <sheetViews>
    <sheetView rightToLeft="1" zoomScale="50" zoomScaleNormal="50" zoomScaleSheetLayoutView="80" zoomScalePageLayoutView="40" workbookViewId="0">
      <selection activeCell="J8" sqref="J8"/>
    </sheetView>
  </sheetViews>
  <sheetFormatPr defaultColWidth="9" defaultRowHeight="35.1" customHeight="1" x14ac:dyDescent="0.25"/>
  <cols>
    <col min="1" max="1" width="4.28515625" style="185" customWidth="1"/>
    <col min="2" max="2" width="6.28515625" style="188" customWidth="1"/>
    <col min="3" max="3" width="50.5703125" style="185" customWidth="1"/>
    <col min="4" max="4" width="20" style="6" customWidth="1"/>
    <col min="5" max="5" width="24.28515625" style="185" customWidth="1"/>
    <col min="6" max="6" width="13" style="166" customWidth="1"/>
    <col min="7" max="7" width="15.140625" style="166" customWidth="1"/>
    <col min="8" max="8" width="22.7109375" style="166" customWidth="1"/>
    <col min="9" max="9" width="21.85546875" style="166" customWidth="1"/>
    <col min="10" max="10" width="14.5703125" style="189" customWidth="1"/>
    <col min="11" max="11" width="20.5703125" style="185" customWidth="1"/>
    <col min="12" max="16384" width="9" style="185"/>
  </cols>
  <sheetData>
    <row r="1" spans="1:11" s="157" customFormat="1" ht="33" x14ac:dyDescent="0.25">
      <c r="B1" s="1085" t="str">
        <f>'خرسانة مسلحة'!B1:J1</f>
        <v>تحليل اسعار</v>
      </c>
      <c r="C1" s="1085"/>
      <c r="D1" s="1085"/>
      <c r="E1" s="1085"/>
      <c r="F1" s="1085"/>
      <c r="G1" s="1085"/>
      <c r="H1" s="1085"/>
      <c r="I1" s="1085"/>
      <c r="J1" s="1085"/>
    </row>
    <row r="2" spans="1:11" s="495" customFormat="1" ht="14.25" customHeight="1" thickBot="1" x14ac:dyDescent="0.3">
      <c r="A2" s="493"/>
      <c r="B2" s="494"/>
      <c r="C2" s="494"/>
      <c r="D2" s="494"/>
      <c r="E2" s="494"/>
      <c r="F2" s="494"/>
      <c r="G2" s="494"/>
      <c r="H2" s="494"/>
      <c r="I2" s="494"/>
      <c r="J2" s="494"/>
      <c r="K2" s="493"/>
    </row>
    <row r="3" spans="1:11" s="34" customFormat="1" ht="39.75" customHeight="1" thickBot="1" x14ac:dyDescent="0.3">
      <c r="C3" s="470"/>
      <c r="D3" s="1083" t="s">
        <v>517</v>
      </c>
      <c r="E3" s="1083"/>
      <c r="F3" s="1083"/>
      <c r="G3" s="1083"/>
      <c r="H3" s="470"/>
      <c r="I3" s="470"/>
      <c r="J3" s="380" t="s">
        <v>1171</v>
      </c>
      <c r="K3" s="185"/>
    </row>
    <row r="4" spans="1:11" s="34" customFormat="1" ht="24.75" customHeight="1" x14ac:dyDescent="0.25">
      <c r="A4" s="185"/>
      <c r="B4" s="185"/>
      <c r="C4" s="185"/>
      <c r="D4" s="185"/>
      <c r="E4" s="185"/>
      <c r="F4" s="185"/>
      <c r="G4" s="185"/>
      <c r="H4" s="185"/>
      <c r="I4" s="185"/>
      <c r="J4" s="185"/>
      <c r="K4" s="185"/>
    </row>
    <row r="5" spans="1:11" s="471" customFormat="1" ht="69.75" customHeight="1" x14ac:dyDescent="0.25">
      <c r="B5" s="472" t="s">
        <v>0</v>
      </c>
      <c r="C5" s="473" t="s">
        <v>1</v>
      </c>
      <c r="D5" s="1086" t="s">
        <v>2</v>
      </c>
      <c r="E5" s="1086"/>
      <c r="F5" s="473" t="s">
        <v>3</v>
      </c>
      <c r="G5" s="473" t="s">
        <v>4</v>
      </c>
      <c r="H5" s="473" t="s">
        <v>5</v>
      </c>
      <c r="I5" s="473" t="s">
        <v>6</v>
      </c>
      <c r="J5" s="225" t="s">
        <v>7</v>
      </c>
      <c r="K5" s="268"/>
    </row>
    <row r="6" spans="1:11" s="268" customFormat="1" ht="30.75" customHeight="1" x14ac:dyDescent="0.25">
      <c r="B6" s="474">
        <v>1</v>
      </c>
      <c r="C6" s="1087" t="s">
        <v>460</v>
      </c>
      <c r="D6" s="1088" t="s">
        <v>14</v>
      </c>
      <c r="E6" s="475" t="s">
        <v>61</v>
      </c>
      <c r="F6" s="476" t="s">
        <v>45</v>
      </c>
      <c r="G6" s="476">
        <f>'اسعار الخامات'!E27</f>
        <v>30</v>
      </c>
      <c r="H6" s="476">
        <v>1</v>
      </c>
      <c r="I6" s="477">
        <v>0.1</v>
      </c>
      <c r="J6" s="478">
        <f t="shared" ref="J6:J9" si="0">H6*G6+(I6*H6*G6)</f>
        <v>33</v>
      </c>
    </row>
    <row r="7" spans="1:11" s="268" customFormat="1" ht="33.75" x14ac:dyDescent="0.25">
      <c r="B7" s="474"/>
      <c r="C7" s="1087"/>
      <c r="D7" s="1088"/>
      <c r="E7" s="475" t="s">
        <v>449</v>
      </c>
      <c r="F7" s="476" t="s">
        <v>49</v>
      </c>
      <c r="G7" s="479">
        <v>1.6</v>
      </c>
      <c r="H7" s="480">
        <v>1</v>
      </c>
      <c r="I7" s="477">
        <v>0.05</v>
      </c>
      <c r="J7" s="478">
        <f t="shared" si="0"/>
        <v>1.6800000000000002</v>
      </c>
    </row>
    <row r="8" spans="1:11" s="268" customFormat="1" ht="33.75" x14ac:dyDescent="0.25">
      <c r="B8" s="474"/>
      <c r="C8" s="1087"/>
      <c r="D8" s="1088"/>
      <c r="E8" s="475" t="s">
        <v>56</v>
      </c>
      <c r="F8" s="476" t="s">
        <v>207</v>
      </c>
      <c r="G8" s="479">
        <f>'اسعار الخامات'!E18/20</f>
        <v>50</v>
      </c>
      <c r="H8" s="481">
        <f>1/40</f>
        <v>2.5000000000000001E-2</v>
      </c>
      <c r="I8" s="477">
        <v>0.05</v>
      </c>
      <c r="J8" s="478">
        <f t="shared" si="0"/>
        <v>1.3125</v>
      </c>
    </row>
    <row r="9" spans="1:11" s="268" customFormat="1" ht="33.75" x14ac:dyDescent="0.25">
      <c r="B9" s="474"/>
      <c r="C9" s="1087"/>
      <c r="D9" s="1088" t="s">
        <v>11</v>
      </c>
      <c r="E9" s="475" t="s">
        <v>60</v>
      </c>
      <c r="F9" s="1089" t="s">
        <v>45</v>
      </c>
      <c r="G9" s="1089">
        <f>'اسعار المصنعيات'!D31</f>
        <v>25</v>
      </c>
      <c r="H9" s="1089">
        <v>1</v>
      </c>
      <c r="I9" s="1089">
        <v>0</v>
      </c>
      <c r="J9" s="1090">
        <f t="shared" si="0"/>
        <v>25</v>
      </c>
    </row>
    <row r="10" spans="1:11" s="268" customFormat="1" ht="33.75" x14ac:dyDescent="0.25">
      <c r="B10" s="474"/>
      <c r="C10" s="1087"/>
      <c r="D10" s="1088"/>
      <c r="E10" s="475" t="s">
        <v>50</v>
      </c>
      <c r="F10" s="1089"/>
      <c r="G10" s="1089"/>
      <c r="H10" s="1089"/>
      <c r="I10" s="1089"/>
      <c r="J10" s="1090"/>
    </row>
    <row r="11" spans="1:11" s="268" customFormat="1" ht="33.75" x14ac:dyDescent="0.25">
      <c r="B11" s="474"/>
      <c r="C11" s="1087"/>
      <c r="D11" s="1088"/>
      <c r="E11" s="475" t="s">
        <v>55</v>
      </c>
      <c r="F11" s="1089"/>
      <c r="G11" s="1089"/>
      <c r="H11" s="1089"/>
      <c r="I11" s="1089"/>
      <c r="J11" s="1090"/>
    </row>
    <row r="12" spans="1:11" s="268" customFormat="1" ht="33.75" x14ac:dyDescent="0.25">
      <c r="B12" s="474"/>
      <c r="C12" s="1087"/>
      <c r="D12" s="475" t="s">
        <v>16</v>
      </c>
      <c r="E12" s="475" t="s">
        <v>299</v>
      </c>
      <c r="F12" s="476" t="s">
        <v>45</v>
      </c>
      <c r="G12" s="476">
        <v>0.3</v>
      </c>
      <c r="H12" s="476">
        <v>1</v>
      </c>
      <c r="I12" s="476">
        <v>0</v>
      </c>
      <c r="J12" s="478">
        <f>H12*G12+(I12*H12*G12)</f>
        <v>0.3</v>
      </c>
    </row>
    <row r="13" spans="1:11" s="469" customFormat="1" ht="47.25" customHeight="1" x14ac:dyDescent="0.25">
      <c r="B13" s="466"/>
      <c r="C13" s="1036" t="s">
        <v>13</v>
      </c>
      <c r="D13" s="1036"/>
      <c r="E13" s="1036"/>
      <c r="F13" s="1036"/>
      <c r="G13" s="1036"/>
      <c r="H13" s="1036"/>
      <c r="I13" s="1036"/>
      <c r="J13" s="468">
        <f>SUM(J6:J12)</f>
        <v>61.292499999999997</v>
      </c>
      <c r="K13" s="468">
        <f>J13*1.25</f>
        <v>76.615624999999994</v>
      </c>
    </row>
    <row r="14" spans="1:11" s="268" customFormat="1" ht="33.75" hidden="1" x14ac:dyDescent="0.25">
      <c r="B14" s="474">
        <v>3</v>
      </c>
      <c r="C14" s="1087" t="s">
        <v>216</v>
      </c>
      <c r="D14" s="1088" t="s">
        <v>14</v>
      </c>
      <c r="E14" s="475" t="s">
        <v>61</v>
      </c>
      <c r="F14" s="476" t="s">
        <v>45</v>
      </c>
      <c r="G14" s="476">
        <f>'اسعار الخامات'!E28</f>
        <v>30</v>
      </c>
      <c r="H14" s="476">
        <v>1</v>
      </c>
      <c r="I14" s="477">
        <v>0.05</v>
      </c>
      <c r="J14" s="478">
        <f t="shared" ref="J14:J19" si="1">H14*G14+(I14*H14*G14)</f>
        <v>31.5</v>
      </c>
    </row>
    <row r="15" spans="1:11" s="268" customFormat="1" ht="33.75" hidden="1" x14ac:dyDescent="0.25">
      <c r="B15" s="474"/>
      <c r="C15" s="1087"/>
      <c r="D15" s="1088"/>
      <c r="E15" s="475" t="s">
        <v>18</v>
      </c>
      <c r="F15" s="476" t="s">
        <v>19</v>
      </c>
      <c r="G15" s="479">
        <f>'اسعار الخامات'!E7</f>
        <v>650</v>
      </c>
      <c r="H15" s="480">
        <f>0.3/33+(0.45/180)</f>
        <v>1.1590909090909091E-2</v>
      </c>
      <c r="I15" s="477">
        <v>0.05</v>
      </c>
      <c r="J15" s="478">
        <f t="shared" si="1"/>
        <v>7.9107954545454549</v>
      </c>
    </row>
    <row r="16" spans="1:11" s="268" customFormat="1" ht="33.75" hidden="1" x14ac:dyDescent="0.25">
      <c r="B16" s="474"/>
      <c r="C16" s="1087"/>
      <c r="D16" s="1088"/>
      <c r="E16" s="475" t="s">
        <v>21</v>
      </c>
      <c r="F16" s="476" t="s">
        <v>12</v>
      </c>
      <c r="G16" s="476">
        <f>'اسعار الخامات'!E9</f>
        <v>35</v>
      </c>
      <c r="H16" s="481">
        <f>1/33+(1/200)</f>
        <v>3.5303030303030301E-2</v>
      </c>
      <c r="I16" s="477">
        <v>0.1</v>
      </c>
      <c r="J16" s="478">
        <f t="shared" si="1"/>
        <v>1.3591666666666666</v>
      </c>
    </row>
    <row r="17" spans="2:10" s="268" customFormat="1" ht="33.75" hidden="1" x14ac:dyDescent="0.25">
      <c r="B17" s="474"/>
      <c r="C17" s="1087"/>
      <c r="D17" s="1088"/>
      <c r="E17" s="475" t="s">
        <v>15</v>
      </c>
      <c r="F17" s="476" t="s">
        <v>12</v>
      </c>
      <c r="G17" s="476">
        <f>'اسعار الخامات'!E12</f>
        <v>13</v>
      </c>
      <c r="H17" s="481">
        <f>1.75/33</f>
        <v>5.3030303030303032E-2</v>
      </c>
      <c r="I17" s="477">
        <v>0.1</v>
      </c>
      <c r="J17" s="478">
        <f t="shared" si="1"/>
        <v>0.75833333333333341</v>
      </c>
    </row>
    <row r="18" spans="2:10" s="268" customFormat="1" ht="33.75" hidden="1" x14ac:dyDescent="0.25">
      <c r="B18" s="474"/>
      <c r="C18" s="1087"/>
      <c r="D18" s="1088"/>
      <c r="E18" s="475" t="s">
        <v>56</v>
      </c>
      <c r="F18" s="476" t="s">
        <v>207</v>
      </c>
      <c r="G18" s="479">
        <f>'اسعار الخامات'!E18/20</f>
        <v>50</v>
      </c>
      <c r="H18" s="481">
        <f>1/40</f>
        <v>2.5000000000000001E-2</v>
      </c>
      <c r="I18" s="477">
        <v>0.05</v>
      </c>
      <c r="J18" s="478">
        <f t="shared" si="1"/>
        <v>1.3125</v>
      </c>
    </row>
    <row r="19" spans="2:10" s="268" customFormat="1" ht="33.75" hidden="1" x14ac:dyDescent="0.25">
      <c r="B19" s="474"/>
      <c r="C19" s="1087"/>
      <c r="D19" s="1088" t="s">
        <v>11</v>
      </c>
      <c r="E19" s="475" t="s">
        <v>60</v>
      </c>
      <c r="F19" s="1089" t="s">
        <v>45</v>
      </c>
      <c r="G19" s="1089">
        <f>'اسعار المصنعيات'!D28</f>
        <v>22</v>
      </c>
      <c r="H19" s="1089">
        <v>1</v>
      </c>
      <c r="I19" s="1089">
        <v>0</v>
      </c>
      <c r="J19" s="1090">
        <f t="shared" si="1"/>
        <v>22</v>
      </c>
    </row>
    <row r="20" spans="2:10" s="268" customFormat="1" ht="33.75" hidden="1" x14ac:dyDescent="0.25">
      <c r="B20" s="474"/>
      <c r="C20" s="1087"/>
      <c r="D20" s="1088"/>
      <c r="E20" s="475" t="s">
        <v>50</v>
      </c>
      <c r="F20" s="1089"/>
      <c r="G20" s="1089"/>
      <c r="H20" s="1089"/>
      <c r="I20" s="1089"/>
      <c r="J20" s="1090"/>
    </row>
    <row r="21" spans="2:10" s="268" customFormat="1" ht="33.75" hidden="1" x14ac:dyDescent="0.25">
      <c r="B21" s="474"/>
      <c r="C21" s="1087"/>
      <c r="D21" s="475"/>
      <c r="E21" s="475" t="s">
        <v>55</v>
      </c>
      <c r="F21" s="1089"/>
      <c r="G21" s="1089"/>
      <c r="H21" s="1089"/>
      <c r="I21" s="1089"/>
      <c r="J21" s="1090"/>
    </row>
    <row r="22" spans="2:10" s="268" customFormat="1" ht="33.75" hidden="1" x14ac:dyDescent="0.25">
      <c r="B22" s="474"/>
      <c r="C22" s="482"/>
      <c r="D22" s="475"/>
      <c r="E22" s="475" t="s">
        <v>434</v>
      </c>
      <c r="F22" s="476" t="s">
        <v>45</v>
      </c>
      <c r="G22" s="476">
        <f>'اسعار المصنعيات'!D16*0.2</f>
        <v>4</v>
      </c>
      <c r="H22" s="476">
        <v>1</v>
      </c>
      <c r="I22" s="476">
        <v>0</v>
      </c>
      <c r="J22" s="478">
        <f t="shared" ref="J22" si="2">H22*G22+(I22*H22*G22)</f>
        <v>4</v>
      </c>
    </row>
    <row r="23" spans="2:10" s="268" customFormat="1" ht="33.75" hidden="1" x14ac:dyDescent="0.25">
      <c r="B23" s="474"/>
      <c r="C23" s="482"/>
      <c r="D23" s="475" t="s">
        <v>16</v>
      </c>
      <c r="E23" s="475" t="s">
        <v>299</v>
      </c>
      <c r="F23" s="476" t="s">
        <v>45</v>
      </c>
      <c r="G23" s="476">
        <v>0.3</v>
      </c>
      <c r="H23" s="476">
        <v>1</v>
      </c>
      <c r="I23" s="476">
        <v>0</v>
      </c>
      <c r="J23" s="478">
        <f>H23*G23+(I23*H23*G23)</f>
        <v>0.3</v>
      </c>
    </row>
    <row r="24" spans="2:10" s="268" customFormat="1" ht="33.75" hidden="1" x14ac:dyDescent="0.25">
      <c r="B24" s="474"/>
      <c r="C24" s="1088" t="s">
        <v>13</v>
      </c>
      <c r="D24" s="1088"/>
      <c r="E24" s="1088"/>
      <c r="F24" s="1088"/>
      <c r="G24" s="1088"/>
      <c r="H24" s="1088"/>
      <c r="I24" s="1088"/>
      <c r="J24" s="478">
        <f>SUM(J14:J23)</f>
        <v>69.140795454545454</v>
      </c>
    </row>
    <row r="25" spans="2:10" s="268" customFormat="1" ht="33.75" hidden="1" x14ac:dyDescent="0.25">
      <c r="B25" s="474">
        <v>4</v>
      </c>
      <c r="C25" s="1087" t="s">
        <v>217</v>
      </c>
      <c r="D25" s="1088" t="s">
        <v>14</v>
      </c>
      <c r="E25" s="475" t="s">
        <v>61</v>
      </c>
      <c r="F25" s="476" t="s">
        <v>45</v>
      </c>
      <c r="G25" s="476">
        <f>'اسعار الخامات'!E29</f>
        <v>30</v>
      </c>
      <c r="H25" s="476">
        <v>1</v>
      </c>
      <c r="I25" s="477">
        <v>0.05</v>
      </c>
      <c r="J25" s="478">
        <f t="shared" ref="J25:J30" si="3">H25*G25+(I25*H25*G25)</f>
        <v>31.5</v>
      </c>
    </row>
    <row r="26" spans="2:10" s="268" customFormat="1" ht="33.75" hidden="1" x14ac:dyDescent="0.25">
      <c r="B26" s="474"/>
      <c r="C26" s="1087"/>
      <c r="D26" s="1088"/>
      <c r="E26" s="475" t="s">
        <v>18</v>
      </c>
      <c r="F26" s="476" t="s">
        <v>19</v>
      </c>
      <c r="G26" s="479">
        <f>'اسعار الخامات'!E7</f>
        <v>650</v>
      </c>
      <c r="H26" s="480">
        <f>0.3/33+(0.45/180)</f>
        <v>1.1590909090909091E-2</v>
      </c>
      <c r="I26" s="477">
        <v>0.05</v>
      </c>
      <c r="J26" s="478">
        <f t="shared" si="3"/>
        <v>7.9107954545454549</v>
      </c>
    </row>
    <row r="27" spans="2:10" s="268" customFormat="1" ht="33.75" hidden="1" x14ac:dyDescent="0.25">
      <c r="B27" s="474"/>
      <c r="C27" s="1087"/>
      <c r="D27" s="1088"/>
      <c r="E27" s="475" t="s">
        <v>21</v>
      </c>
      <c r="F27" s="476" t="s">
        <v>12</v>
      </c>
      <c r="G27" s="476">
        <f>'اسعار الخامات'!E9</f>
        <v>35</v>
      </c>
      <c r="H27" s="481">
        <f>1/33+(1/200)</f>
        <v>3.5303030303030301E-2</v>
      </c>
      <c r="I27" s="477">
        <v>0.1</v>
      </c>
      <c r="J27" s="478">
        <f t="shared" si="3"/>
        <v>1.3591666666666666</v>
      </c>
    </row>
    <row r="28" spans="2:10" s="268" customFormat="1" ht="33.75" hidden="1" x14ac:dyDescent="0.25">
      <c r="B28" s="474"/>
      <c r="C28" s="1087"/>
      <c r="D28" s="1088"/>
      <c r="E28" s="475" t="s">
        <v>15</v>
      </c>
      <c r="F28" s="476" t="s">
        <v>12</v>
      </c>
      <c r="G28" s="476">
        <f>'اسعار الخامات'!E12</f>
        <v>13</v>
      </c>
      <c r="H28" s="481">
        <f>1.75/33</f>
        <v>5.3030303030303032E-2</v>
      </c>
      <c r="I28" s="477">
        <v>0.1</v>
      </c>
      <c r="J28" s="478">
        <f t="shared" si="3"/>
        <v>0.75833333333333341</v>
      </c>
    </row>
    <row r="29" spans="2:10" s="268" customFormat="1" ht="33.75" hidden="1" x14ac:dyDescent="0.25">
      <c r="B29" s="474"/>
      <c r="C29" s="1087"/>
      <c r="D29" s="1088"/>
      <c r="E29" s="475" t="s">
        <v>56</v>
      </c>
      <c r="F29" s="476" t="s">
        <v>207</v>
      </c>
      <c r="G29" s="479">
        <f>'اسعار الخامات'!E18/20</f>
        <v>50</v>
      </c>
      <c r="H29" s="481">
        <f>1/40</f>
        <v>2.5000000000000001E-2</v>
      </c>
      <c r="I29" s="477">
        <v>0.05</v>
      </c>
      <c r="J29" s="478">
        <f t="shared" si="3"/>
        <v>1.3125</v>
      </c>
    </row>
    <row r="30" spans="2:10" s="268" customFormat="1" ht="33.75" hidden="1" x14ac:dyDescent="0.25">
      <c r="B30" s="474"/>
      <c r="C30" s="1087"/>
      <c r="D30" s="1088" t="s">
        <v>11</v>
      </c>
      <c r="E30" s="475" t="s">
        <v>60</v>
      </c>
      <c r="F30" s="1089" t="s">
        <v>45</v>
      </c>
      <c r="G30" s="1089">
        <f>'اسعار المصنعيات'!D28</f>
        <v>22</v>
      </c>
      <c r="H30" s="1089">
        <v>1</v>
      </c>
      <c r="I30" s="1089">
        <v>0</v>
      </c>
      <c r="J30" s="1090">
        <f t="shared" si="3"/>
        <v>22</v>
      </c>
    </row>
    <row r="31" spans="2:10" s="268" customFormat="1" ht="33.75" hidden="1" x14ac:dyDescent="0.25">
      <c r="B31" s="474"/>
      <c r="C31" s="1087"/>
      <c r="D31" s="1088"/>
      <c r="E31" s="475" t="s">
        <v>50</v>
      </c>
      <c r="F31" s="1089"/>
      <c r="G31" s="1089"/>
      <c r="H31" s="1089"/>
      <c r="I31" s="1089"/>
      <c r="J31" s="1090"/>
    </row>
    <row r="32" spans="2:10" s="268" customFormat="1" ht="33.75" hidden="1" x14ac:dyDescent="0.25">
      <c r="B32" s="474"/>
      <c r="C32" s="1087"/>
      <c r="D32" s="475"/>
      <c r="E32" s="475" t="s">
        <v>55</v>
      </c>
      <c r="F32" s="1089"/>
      <c r="G32" s="1089"/>
      <c r="H32" s="1089"/>
      <c r="I32" s="1089"/>
      <c r="J32" s="1090"/>
    </row>
    <row r="33" spans="1:11" s="268" customFormat="1" ht="33.75" hidden="1" x14ac:dyDescent="0.25">
      <c r="B33" s="474"/>
      <c r="C33" s="482"/>
      <c r="D33" s="475"/>
      <c r="E33" s="475" t="s">
        <v>434</v>
      </c>
      <c r="F33" s="476" t="s">
        <v>45</v>
      </c>
      <c r="G33" s="476">
        <f>'اسعار المصنعيات'!D16*0.2</f>
        <v>4</v>
      </c>
      <c r="H33" s="476">
        <v>1</v>
      </c>
      <c r="I33" s="476">
        <v>0</v>
      </c>
      <c r="J33" s="478">
        <f t="shared" ref="J33" si="4">H33*G33+(I33*H33*G33)</f>
        <v>4</v>
      </c>
    </row>
    <row r="34" spans="1:11" s="268" customFormat="1" ht="33.75" hidden="1" x14ac:dyDescent="0.25">
      <c r="B34" s="474"/>
      <c r="C34" s="482"/>
      <c r="D34" s="475" t="s">
        <v>16</v>
      </c>
      <c r="E34" s="475" t="s">
        <v>299</v>
      </c>
      <c r="F34" s="476" t="s">
        <v>45</v>
      </c>
      <c r="G34" s="476">
        <v>0.3</v>
      </c>
      <c r="H34" s="476">
        <v>1</v>
      </c>
      <c r="I34" s="476">
        <v>0</v>
      </c>
      <c r="J34" s="478">
        <f>H34*G34+(I34*H34*G34)</f>
        <v>0.3</v>
      </c>
    </row>
    <row r="35" spans="1:11" s="268" customFormat="1" ht="33.75" hidden="1" x14ac:dyDescent="0.25">
      <c r="B35" s="474"/>
      <c r="C35" s="1088" t="s">
        <v>13</v>
      </c>
      <c r="D35" s="1088"/>
      <c r="E35" s="1088"/>
      <c r="F35" s="1088"/>
      <c r="G35" s="1088"/>
      <c r="H35" s="1088"/>
      <c r="I35" s="1088"/>
      <c r="J35" s="478">
        <f>SUM(J25:J32)</f>
        <v>64.840795454545457</v>
      </c>
    </row>
    <row r="36" spans="1:11" s="268" customFormat="1" ht="33.75" hidden="1" x14ac:dyDescent="0.25">
      <c r="B36" s="474">
        <v>5</v>
      </c>
      <c r="C36" s="1087" t="s">
        <v>210</v>
      </c>
      <c r="D36" s="1088" t="s">
        <v>14</v>
      </c>
      <c r="E36" s="475" t="s">
        <v>61</v>
      </c>
      <c r="F36" s="476" t="s">
        <v>45</v>
      </c>
      <c r="G36" s="476">
        <f>'اسعار الخامات'!E30</f>
        <v>30</v>
      </c>
      <c r="H36" s="476">
        <v>1</v>
      </c>
      <c r="I36" s="477">
        <v>0.1</v>
      </c>
      <c r="J36" s="478">
        <f>H36*G36+(I36*H36*G36)</f>
        <v>33</v>
      </c>
    </row>
    <row r="37" spans="1:11" s="268" customFormat="1" ht="33.75" hidden="1" x14ac:dyDescent="0.25">
      <c r="B37" s="474"/>
      <c r="C37" s="1087"/>
      <c r="D37" s="1088"/>
      <c r="E37" s="475" t="s">
        <v>18</v>
      </c>
      <c r="F37" s="476" t="s">
        <v>19</v>
      </c>
      <c r="G37" s="479">
        <f>'اسعار الخامات'!E7</f>
        <v>650</v>
      </c>
      <c r="H37" s="480">
        <f>0.35/40</f>
        <v>8.7499999999999991E-3</v>
      </c>
      <c r="I37" s="477">
        <v>0.05</v>
      </c>
      <c r="J37" s="478">
        <f>H37*G37+(I37*H37*G37)</f>
        <v>5.9718749999999989</v>
      </c>
    </row>
    <row r="38" spans="1:11" s="268" customFormat="1" ht="33.75" hidden="1" x14ac:dyDescent="0.25">
      <c r="B38" s="474"/>
      <c r="C38" s="1087"/>
      <c r="D38" s="1088"/>
      <c r="E38" s="475" t="s">
        <v>21</v>
      </c>
      <c r="F38" s="476" t="s">
        <v>12</v>
      </c>
      <c r="G38" s="476">
        <f>'اسعار الخامات'!E9</f>
        <v>35</v>
      </c>
      <c r="H38" s="481">
        <f>1/40+(1/10)</f>
        <v>0.125</v>
      </c>
      <c r="I38" s="477">
        <v>0.1</v>
      </c>
      <c r="J38" s="478">
        <f>H38*G38+(I38*H38*G38)</f>
        <v>4.8125</v>
      </c>
    </row>
    <row r="39" spans="1:11" s="268" customFormat="1" ht="33.75" hidden="1" x14ac:dyDescent="0.25">
      <c r="B39" s="474"/>
      <c r="C39" s="1087"/>
      <c r="D39" s="1088"/>
      <c r="E39" s="475" t="s">
        <v>15</v>
      </c>
      <c r="F39" s="476" t="s">
        <v>12</v>
      </c>
      <c r="G39" s="476">
        <f>'اسعار الخامات'!E12</f>
        <v>13</v>
      </c>
      <c r="H39" s="476">
        <f>1.75/40</f>
        <v>4.3749999999999997E-2</v>
      </c>
      <c r="I39" s="477">
        <v>0.1</v>
      </c>
      <c r="J39" s="478">
        <f>H39*G39+(I39*H39*G39)</f>
        <v>0.62562499999999999</v>
      </c>
    </row>
    <row r="40" spans="1:11" s="268" customFormat="1" ht="33.75" hidden="1" x14ac:dyDescent="0.25">
      <c r="B40" s="474"/>
      <c r="C40" s="1087"/>
      <c r="D40" s="1088"/>
      <c r="E40" s="475" t="s">
        <v>56</v>
      </c>
      <c r="F40" s="476" t="s">
        <v>207</v>
      </c>
      <c r="G40" s="479">
        <f>'اسعار الخامات'!E18/20</f>
        <v>50</v>
      </c>
      <c r="H40" s="481">
        <f>1/40</f>
        <v>2.5000000000000001E-2</v>
      </c>
      <c r="I40" s="477">
        <v>0.05</v>
      </c>
      <c r="J40" s="478">
        <f>H40*G40+(I40*H40*G40)</f>
        <v>1.3125</v>
      </c>
    </row>
    <row r="41" spans="1:11" s="268" customFormat="1" ht="33.75" hidden="1" x14ac:dyDescent="0.25">
      <c r="B41" s="474"/>
      <c r="C41" s="1087"/>
      <c r="D41" s="1088" t="s">
        <v>11</v>
      </c>
      <c r="E41" s="475" t="s">
        <v>60</v>
      </c>
      <c r="F41" s="1089" t="s">
        <v>45</v>
      </c>
      <c r="G41" s="1089">
        <f>'اسعار المصنعيات'!D29</f>
        <v>20</v>
      </c>
      <c r="H41" s="1089">
        <v>1</v>
      </c>
      <c r="I41" s="1089">
        <v>0</v>
      </c>
      <c r="J41" s="1090">
        <v>15</v>
      </c>
    </row>
    <row r="42" spans="1:11" s="268" customFormat="1" ht="33.75" hidden="1" x14ac:dyDescent="0.25">
      <c r="B42" s="474"/>
      <c r="C42" s="1087"/>
      <c r="D42" s="1088"/>
      <c r="E42" s="475" t="s">
        <v>50</v>
      </c>
      <c r="F42" s="1089"/>
      <c r="G42" s="1089"/>
      <c r="H42" s="1089"/>
      <c r="I42" s="1089"/>
      <c r="J42" s="1090"/>
    </row>
    <row r="43" spans="1:11" s="268" customFormat="1" ht="33.75" hidden="1" x14ac:dyDescent="0.25">
      <c r="B43" s="474"/>
      <c r="C43" s="1087"/>
      <c r="D43" s="475"/>
      <c r="E43" s="475" t="s">
        <v>55</v>
      </c>
      <c r="F43" s="1089"/>
      <c r="G43" s="1089"/>
      <c r="H43" s="1089"/>
      <c r="I43" s="1089"/>
      <c r="J43" s="1090"/>
    </row>
    <row r="44" spans="1:11" s="483" customFormat="1" ht="33.75" hidden="1" x14ac:dyDescent="0.25">
      <c r="B44" s="474"/>
      <c r="C44" s="482"/>
      <c r="D44" s="475" t="s">
        <v>16</v>
      </c>
      <c r="E44" s="475" t="s">
        <v>299</v>
      </c>
      <c r="F44" s="476" t="s">
        <v>45</v>
      </c>
      <c r="G44" s="476">
        <v>0.3</v>
      </c>
      <c r="H44" s="476">
        <v>1</v>
      </c>
      <c r="I44" s="476">
        <v>0</v>
      </c>
      <c r="J44" s="478">
        <f>H44*G44+(I44*H44*G44)</f>
        <v>0.3</v>
      </c>
    </row>
    <row r="45" spans="1:11" s="268" customFormat="1" ht="33.75" hidden="1" x14ac:dyDescent="0.25">
      <c r="B45" s="474"/>
      <c r="C45" s="1088" t="s">
        <v>13</v>
      </c>
      <c r="D45" s="1088"/>
      <c r="E45" s="1088"/>
      <c r="F45" s="1088"/>
      <c r="G45" s="1088"/>
      <c r="H45" s="1088"/>
      <c r="I45" s="1088"/>
      <c r="J45" s="478">
        <f>SUM(J36:J44)</f>
        <v>61.022499999999994</v>
      </c>
    </row>
    <row r="46" spans="1:11" s="471" customFormat="1" ht="24.75" customHeight="1" x14ac:dyDescent="0.25">
      <c r="A46" s="268"/>
      <c r="B46" s="268"/>
      <c r="C46" s="268"/>
      <c r="D46" s="268"/>
      <c r="E46" s="268"/>
      <c r="F46" s="268"/>
      <c r="G46" s="268"/>
      <c r="H46" s="268"/>
      <c r="I46" s="268"/>
      <c r="J46" s="268"/>
      <c r="K46" s="268"/>
    </row>
    <row r="47" spans="1:11" s="471" customFormat="1" ht="69.75" customHeight="1" x14ac:dyDescent="0.25">
      <c r="B47" s="472" t="s">
        <v>0</v>
      </c>
      <c r="C47" s="473" t="s">
        <v>1</v>
      </c>
      <c r="D47" s="1086" t="s">
        <v>2</v>
      </c>
      <c r="E47" s="1086"/>
      <c r="F47" s="473" t="s">
        <v>3</v>
      </c>
      <c r="G47" s="473" t="s">
        <v>4</v>
      </c>
      <c r="H47" s="473" t="s">
        <v>5</v>
      </c>
      <c r="I47" s="473" t="s">
        <v>6</v>
      </c>
      <c r="J47" s="225" t="s">
        <v>7</v>
      </c>
      <c r="K47" s="268"/>
    </row>
    <row r="48" spans="1:11" s="268" customFormat="1" ht="33.75" x14ac:dyDescent="0.25">
      <c r="B48" s="474">
        <v>6</v>
      </c>
      <c r="C48" s="1094" t="s">
        <v>448</v>
      </c>
      <c r="D48" s="1088" t="s">
        <v>14</v>
      </c>
      <c r="E48" s="475" t="s">
        <v>61</v>
      </c>
      <c r="F48" s="476" t="s">
        <v>45</v>
      </c>
      <c r="G48" s="476">
        <f>'اسعار الخامات'!E31</f>
        <v>30</v>
      </c>
      <c r="H48" s="476">
        <v>1</v>
      </c>
      <c r="I48" s="477">
        <v>0.1</v>
      </c>
      <c r="J48" s="478">
        <f>H48*G48+(I48*H48*G48)</f>
        <v>33</v>
      </c>
    </row>
    <row r="49" spans="1:11" s="268" customFormat="1" ht="33.75" x14ac:dyDescent="0.25">
      <c r="B49" s="474"/>
      <c r="C49" s="1095"/>
      <c r="D49" s="1088"/>
      <c r="E49" s="475" t="s">
        <v>18</v>
      </c>
      <c r="F49" s="476" t="s">
        <v>19</v>
      </c>
      <c r="G49" s="479">
        <f>'اسعار الخامات'!E7</f>
        <v>650</v>
      </c>
      <c r="H49" s="480">
        <f>0.35/40</f>
        <v>8.7499999999999991E-3</v>
      </c>
      <c r="I49" s="477">
        <v>0.05</v>
      </c>
      <c r="J49" s="478">
        <f>H49*G49+(I49*H49*G49)</f>
        <v>5.9718749999999989</v>
      </c>
    </row>
    <row r="50" spans="1:11" s="268" customFormat="1" ht="33.75" x14ac:dyDescent="0.25">
      <c r="B50" s="474"/>
      <c r="C50" s="1095"/>
      <c r="D50" s="1088"/>
      <c r="E50" s="475" t="s">
        <v>21</v>
      </c>
      <c r="F50" s="476" t="s">
        <v>12</v>
      </c>
      <c r="G50" s="476">
        <f>'اسعار الخامات'!E9</f>
        <v>35</v>
      </c>
      <c r="H50" s="481">
        <f>1/40+(1/10)</f>
        <v>0.125</v>
      </c>
      <c r="I50" s="477">
        <v>0.1</v>
      </c>
      <c r="J50" s="478">
        <f>H50*G50+(I50*H50*G50)</f>
        <v>4.8125</v>
      </c>
    </row>
    <row r="51" spans="1:11" s="268" customFormat="1" ht="33.75" x14ac:dyDescent="0.25">
      <c r="B51" s="474"/>
      <c r="C51" s="1095"/>
      <c r="D51" s="1088"/>
      <c r="E51" s="475" t="s">
        <v>15</v>
      </c>
      <c r="F51" s="476" t="s">
        <v>12</v>
      </c>
      <c r="G51" s="476">
        <f>'اسعار الخامات'!E12</f>
        <v>13</v>
      </c>
      <c r="H51" s="476">
        <f>1.75/40</f>
        <v>4.3749999999999997E-2</v>
      </c>
      <c r="I51" s="477">
        <v>0.1</v>
      </c>
      <c r="J51" s="478">
        <f>H51*G51+(I51*H51*G51)</f>
        <v>0.62562499999999999</v>
      </c>
    </row>
    <row r="52" spans="1:11" s="268" customFormat="1" ht="33.75" x14ac:dyDescent="0.25">
      <c r="B52" s="474"/>
      <c r="C52" s="1095"/>
      <c r="D52" s="1088"/>
      <c r="E52" s="475" t="s">
        <v>56</v>
      </c>
      <c r="F52" s="476" t="s">
        <v>207</v>
      </c>
      <c r="G52" s="479">
        <f>'اسعار الخامات'!E18/20</f>
        <v>50</v>
      </c>
      <c r="H52" s="481">
        <f>1/40</f>
        <v>2.5000000000000001E-2</v>
      </c>
      <c r="I52" s="477">
        <v>0.05</v>
      </c>
      <c r="J52" s="478">
        <f>H52*G52+(I52*H52*G52)</f>
        <v>1.3125</v>
      </c>
    </row>
    <row r="53" spans="1:11" s="268" customFormat="1" ht="33.75" x14ac:dyDescent="0.25">
      <c r="B53" s="474"/>
      <c r="C53" s="1095"/>
      <c r="D53" s="1088" t="s">
        <v>11</v>
      </c>
      <c r="E53" s="475" t="s">
        <v>60</v>
      </c>
      <c r="F53" s="1089" t="s">
        <v>45</v>
      </c>
      <c r="G53" s="1089">
        <f>'اسعار المصنعيات'!D29</f>
        <v>20</v>
      </c>
      <c r="H53" s="1089">
        <v>1</v>
      </c>
      <c r="I53" s="1089">
        <v>0</v>
      </c>
      <c r="J53" s="1091">
        <f t="shared" ref="J53" si="5">H53*G53+(I53*H53*G53)</f>
        <v>20</v>
      </c>
    </row>
    <row r="54" spans="1:11" s="268" customFormat="1" ht="33.75" x14ac:dyDescent="0.25">
      <c r="B54" s="474"/>
      <c r="C54" s="1095"/>
      <c r="D54" s="1088"/>
      <c r="E54" s="475" t="s">
        <v>50</v>
      </c>
      <c r="F54" s="1089"/>
      <c r="G54" s="1089"/>
      <c r="H54" s="1089"/>
      <c r="I54" s="1089"/>
      <c r="J54" s="1092"/>
    </row>
    <row r="55" spans="1:11" s="268" customFormat="1" ht="33.75" x14ac:dyDescent="0.25">
      <c r="B55" s="474"/>
      <c r="C55" s="1095"/>
      <c r="D55" s="475"/>
      <c r="E55" s="475" t="s">
        <v>55</v>
      </c>
      <c r="F55" s="1089"/>
      <c r="G55" s="1089"/>
      <c r="H55" s="1089"/>
      <c r="I55" s="1089"/>
      <c r="J55" s="1093"/>
    </row>
    <row r="56" spans="1:11" s="483" customFormat="1" ht="33.75" x14ac:dyDescent="0.25">
      <c r="B56" s="474"/>
      <c r="C56" s="1096"/>
      <c r="D56" s="475" t="s">
        <v>16</v>
      </c>
      <c r="E56" s="475" t="s">
        <v>299</v>
      </c>
      <c r="F56" s="476" t="s">
        <v>45</v>
      </c>
      <c r="G56" s="476">
        <v>0.3</v>
      </c>
      <c r="H56" s="476">
        <v>1</v>
      </c>
      <c r="I56" s="476">
        <v>0</v>
      </c>
      <c r="J56" s="478">
        <f>H56*G56+(I56*H56*G56)</f>
        <v>0.3</v>
      </c>
    </row>
    <row r="57" spans="1:11" s="469" customFormat="1" ht="47.25" customHeight="1" x14ac:dyDescent="0.25">
      <c r="B57" s="466"/>
      <c r="C57" s="1036" t="s">
        <v>13</v>
      </c>
      <c r="D57" s="1036"/>
      <c r="E57" s="1036"/>
      <c r="F57" s="1036"/>
      <c r="G57" s="1036"/>
      <c r="H57" s="1036"/>
      <c r="I57" s="1036"/>
      <c r="J57" s="468">
        <f>SUM(J48:J56)</f>
        <v>66.022499999999994</v>
      </c>
      <c r="K57" s="468">
        <f>J57*1.25</f>
        <v>82.528124999999989</v>
      </c>
    </row>
    <row r="58" spans="1:11" s="471" customFormat="1" ht="24.75" customHeight="1" x14ac:dyDescent="0.25">
      <c r="A58" s="268"/>
      <c r="B58" s="268"/>
      <c r="C58" s="268"/>
      <c r="D58" s="268"/>
      <c r="E58" s="268"/>
      <c r="F58" s="268"/>
      <c r="G58" s="268"/>
      <c r="H58" s="268"/>
      <c r="I58" s="268"/>
      <c r="J58" s="268"/>
      <c r="K58" s="268"/>
    </row>
    <row r="59" spans="1:11" s="471" customFormat="1" ht="69.75" customHeight="1" x14ac:dyDescent="0.25">
      <c r="B59" s="472" t="s">
        <v>0</v>
      </c>
      <c r="C59" s="473" t="s">
        <v>1</v>
      </c>
      <c r="D59" s="1086" t="s">
        <v>2</v>
      </c>
      <c r="E59" s="1086"/>
      <c r="F59" s="473" t="s">
        <v>3</v>
      </c>
      <c r="G59" s="473" t="s">
        <v>4</v>
      </c>
      <c r="H59" s="473" t="s">
        <v>5</v>
      </c>
      <c r="I59" s="473" t="s">
        <v>6</v>
      </c>
      <c r="J59" s="225" t="s">
        <v>7</v>
      </c>
      <c r="K59" s="268"/>
    </row>
    <row r="60" spans="1:11" s="268" customFormat="1" ht="33.75" x14ac:dyDescent="0.25">
      <c r="B60" s="484">
        <v>7</v>
      </c>
      <c r="C60" s="1101" t="s">
        <v>261</v>
      </c>
      <c r="D60" s="1097" t="s">
        <v>14</v>
      </c>
      <c r="E60" s="319" t="s">
        <v>61</v>
      </c>
      <c r="F60" s="485" t="s">
        <v>45</v>
      </c>
      <c r="G60" s="485">
        <f>'اسعار الخامات'!E31</f>
        <v>30</v>
      </c>
      <c r="H60" s="485">
        <f>1/10</f>
        <v>0.1</v>
      </c>
      <c r="I60" s="486">
        <v>0.1</v>
      </c>
      <c r="J60" s="263">
        <f t="shared" ref="J60:J65" si="6">H60*G60+(I60*H60*G60)</f>
        <v>3.3</v>
      </c>
    </row>
    <row r="61" spans="1:11" s="268" customFormat="1" ht="33.75" x14ac:dyDescent="0.25">
      <c r="B61" s="484"/>
      <c r="C61" s="1102"/>
      <c r="D61" s="1097"/>
      <c r="E61" s="319" t="s">
        <v>18</v>
      </c>
      <c r="F61" s="485" t="s">
        <v>19</v>
      </c>
      <c r="G61" s="487">
        <f>'اسعار الخامات'!E7</f>
        <v>650</v>
      </c>
      <c r="H61" s="488">
        <f>0.35/40/10</f>
        <v>8.7499999999999991E-4</v>
      </c>
      <c r="I61" s="486">
        <v>0.05</v>
      </c>
      <c r="J61" s="263">
        <f t="shared" si="6"/>
        <v>0.59718749999999998</v>
      </c>
    </row>
    <row r="62" spans="1:11" s="268" customFormat="1" ht="33.75" x14ac:dyDescent="0.25">
      <c r="B62" s="484"/>
      <c r="C62" s="1102"/>
      <c r="D62" s="1097"/>
      <c r="E62" s="319" t="s">
        <v>21</v>
      </c>
      <c r="F62" s="485" t="s">
        <v>12</v>
      </c>
      <c r="G62" s="485">
        <f>'اسعار الخامات'!E9</f>
        <v>35</v>
      </c>
      <c r="H62" s="489">
        <f>1/40+(1/10)/10</f>
        <v>3.5000000000000003E-2</v>
      </c>
      <c r="I62" s="486">
        <v>0.1</v>
      </c>
      <c r="J62" s="263">
        <f t="shared" si="6"/>
        <v>1.3475000000000001</v>
      </c>
    </row>
    <row r="63" spans="1:11" s="268" customFormat="1" ht="33.75" x14ac:dyDescent="0.25">
      <c r="B63" s="484"/>
      <c r="C63" s="1102"/>
      <c r="D63" s="1097"/>
      <c r="E63" s="319" t="s">
        <v>15</v>
      </c>
      <c r="F63" s="485" t="s">
        <v>12</v>
      </c>
      <c r="G63" s="485">
        <f>'اسعار الخامات'!E12</f>
        <v>13</v>
      </c>
      <c r="H63" s="485">
        <f>1.75/40/10</f>
        <v>4.3749999999999995E-3</v>
      </c>
      <c r="I63" s="486">
        <v>0.1</v>
      </c>
      <c r="J63" s="263">
        <f t="shared" si="6"/>
        <v>6.2562499999999993E-2</v>
      </c>
    </row>
    <row r="64" spans="1:11" s="268" customFormat="1" ht="33.75" x14ac:dyDescent="0.25">
      <c r="B64" s="484"/>
      <c r="C64" s="1102"/>
      <c r="D64" s="1097"/>
      <c r="E64" s="319" t="s">
        <v>56</v>
      </c>
      <c r="F64" s="485" t="s">
        <v>207</v>
      </c>
      <c r="G64" s="487">
        <f>'اسعار الخامات'!E18/20</f>
        <v>50</v>
      </c>
      <c r="H64" s="489">
        <f>1/40/10</f>
        <v>2.5000000000000001E-3</v>
      </c>
      <c r="I64" s="486">
        <v>0.05</v>
      </c>
      <c r="J64" s="263">
        <f t="shared" si="6"/>
        <v>0.13125000000000001</v>
      </c>
    </row>
    <row r="65" spans="1:11" s="268" customFormat="1" ht="33.75" x14ac:dyDescent="0.25">
      <c r="B65" s="484"/>
      <c r="C65" s="1102"/>
      <c r="D65" s="1097" t="s">
        <v>11</v>
      </c>
      <c r="E65" s="319" t="s">
        <v>60</v>
      </c>
      <c r="F65" s="1098" t="s">
        <v>45</v>
      </c>
      <c r="G65" s="1098">
        <f>'اسعار المصنعيات'!D30</f>
        <v>3.5</v>
      </c>
      <c r="H65" s="1098">
        <v>1</v>
      </c>
      <c r="I65" s="1099">
        <v>0</v>
      </c>
      <c r="J65" s="1100">
        <f t="shared" si="6"/>
        <v>3.5</v>
      </c>
    </row>
    <row r="66" spans="1:11" s="268" customFormat="1" ht="33.75" x14ac:dyDescent="0.25">
      <c r="B66" s="484"/>
      <c r="C66" s="1102"/>
      <c r="D66" s="1097"/>
      <c r="E66" s="319" t="s">
        <v>50</v>
      </c>
      <c r="F66" s="1098"/>
      <c r="G66" s="1098"/>
      <c r="H66" s="1098"/>
      <c r="I66" s="1099"/>
      <c r="J66" s="1100"/>
    </row>
    <row r="67" spans="1:11" s="268" customFormat="1" ht="33.75" x14ac:dyDescent="0.25">
      <c r="B67" s="484"/>
      <c r="C67" s="1102"/>
      <c r="D67" s="319"/>
      <c r="E67" s="319" t="s">
        <v>55</v>
      </c>
      <c r="F67" s="1098"/>
      <c r="G67" s="1098"/>
      <c r="H67" s="1098"/>
      <c r="I67" s="1099"/>
      <c r="J67" s="1100"/>
    </row>
    <row r="68" spans="1:11" s="483" customFormat="1" ht="33.75" x14ac:dyDescent="0.25">
      <c r="B68" s="484"/>
      <c r="C68" s="1103"/>
      <c r="D68" s="319" t="s">
        <v>16</v>
      </c>
      <c r="E68" s="319" t="s">
        <v>299</v>
      </c>
      <c r="F68" s="485" t="s">
        <v>45</v>
      </c>
      <c r="G68" s="485">
        <v>0.3</v>
      </c>
      <c r="H68" s="485">
        <v>1</v>
      </c>
      <c r="I68" s="262">
        <v>0</v>
      </c>
      <c r="J68" s="263">
        <f>H68*G68+(I68*H68*G68)</f>
        <v>0.3</v>
      </c>
    </row>
    <row r="69" spans="1:11" s="469" customFormat="1" ht="47.25" customHeight="1" x14ac:dyDescent="0.25">
      <c r="B69" s="466"/>
      <c r="C69" s="1036" t="s">
        <v>13</v>
      </c>
      <c r="D69" s="1036"/>
      <c r="E69" s="1036"/>
      <c r="F69" s="1036"/>
      <c r="G69" s="1036"/>
      <c r="H69" s="1036"/>
      <c r="I69" s="1036"/>
      <c r="J69" s="468">
        <f>SUM(J60:J68)</f>
        <v>9.2385000000000002</v>
      </c>
      <c r="K69" s="468">
        <f>J69*1.25</f>
        <v>11.548125000000001</v>
      </c>
    </row>
    <row r="70" spans="1:11" s="471" customFormat="1" ht="24.75" customHeight="1" x14ac:dyDescent="0.25">
      <c r="A70" s="268"/>
      <c r="B70" s="268"/>
      <c r="C70" s="268"/>
      <c r="D70" s="268"/>
      <c r="E70" s="268"/>
      <c r="F70" s="268"/>
      <c r="G70" s="268"/>
      <c r="H70" s="268"/>
      <c r="I70" s="268"/>
      <c r="J70" s="268"/>
      <c r="K70" s="268"/>
    </row>
    <row r="71" spans="1:11" s="471" customFormat="1" ht="69.75" customHeight="1" x14ac:dyDescent="0.25">
      <c r="B71" s="472" t="s">
        <v>0</v>
      </c>
      <c r="C71" s="473" t="s">
        <v>1</v>
      </c>
      <c r="D71" s="1086" t="s">
        <v>2</v>
      </c>
      <c r="E71" s="1086"/>
      <c r="F71" s="473" t="s">
        <v>3</v>
      </c>
      <c r="G71" s="473" t="s">
        <v>4</v>
      </c>
      <c r="H71" s="473" t="s">
        <v>5</v>
      </c>
      <c r="I71" s="473" t="s">
        <v>6</v>
      </c>
      <c r="J71" s="225" t="s">
        <v>7</v>
      </c>
      <c r="K71" s="268"/>
    </row>
    <row r="72" spans="1:11" s="483" customFormat="1" ht="33.75" x14ac:dyDescent="0.25">
      <c r="A72" s="268"/>
      <c r="B72" s="268"/>
      <c r="C72" s="268"/>
      <c r="D72" s="268"/>
      <c r="E72" s="268"/>
      <c r="F72" s="268"/>
      <c r="G72" s="268"/>
      <c r="H72" s="268"/>
      <c r="I72" s="268"/>
      <c r="J72" s="268"/>
    </row>
    <row r="73" spans="1:11" s="268" customFormat="1" ht="33.75" x14ac:dyDescent="0.25">
      <c r="B73" s="484">
        <v>8</v>
      </c>
      <c r="C73" s="1072" t="s">
        <v>209</v>
      </c>
      <c r="D73" s="1097" t="s">
        <v>14</v>
      </c>
      <c r="E73" s="319" t="s">
        <v>62</v>
      </c>
      <c r="F73" s="485" t="s">
        <v>45</v>
      </c>
      <c r="G73" s="485">
        <f>'اسعار الخامات'!E32</f>
        <v>12</v>
      </c>
      <c r="H73" s="485">
        <v>1</v>
      </c>
      <c r="I73" s="490">
        <v>7.0000000000000007E-2</v>
      </c>
      <c r="J73" s="263">
        <f>H73*G73+(I73*H73*G73)</f>
        <v>12.84</v>
      </c>
    </row>
    <row r="74" spans="1:11" s="268" customFormat="1" ht="33.75" x14ac:dyDescent="0.25">
      <c r="B74" s="484"/>
      <c r="C74" s="1072"/>
      <c r="D74" s="1097"/>
      <c r="E74" s="319" t="s">
        <v>18</v>
      </c>
      <c r="F74" s="485" t="s">
        <v>19</v>
      </c>
      <c r="G74" s="487">
        <f>'اسعار الخامات'!E7</f>
        <v>650</v>
      </c>
      <c r="H74" s="488">
        <f>0.35/40+0.002</f>
        <v>1.0749999999999999E-2</v>
      </c>
      <c r="I74" s="490">
        <v>0.05</v>
      </c>
      <c r="J74" s="263">
        <f>H74*G74+(I74*H74*G74)</f>
        <v>7.336875</v>
      </c>
    </row>
    <row r="75" spans="1:11" s="268" customFormat="1" ht="33.75" x14ac:dyDescent="0.25">
      <c r="B75" s="484"/>
      <c r="C75" s="1072"/>
      <c r="D75" s="1097"/>
      <c r="E75" s="319" t="s">
        <v>21</v>
      </c>
      <c r="F75" s="485" t="s">
        <v>12</v>
      </c>
      <c r="G75" s="485">
        <f>'اسعار الخامات'!E8</f>
        <v>35</v>
      </c>
      <c r="H75" s="489">
        <f>1/40+(1/10)</f>
        <v>0.125</v>
      </c>
      <c r="I75" s="490">
        <v>0.1</v>
      </c>
      <c r="J75" s="263">
        <f>H75*G75+(I75*H75*G75)</f>
        <v>4.8125</v>
      </c>
    </row>
    <row r="76" spans="1:11" s="268" customFormat="1" ht="33.75" x14ac:dyDescent="0.25">
      <c r="B76" s="484"/>
      <c r="C76" s="1072"/>
      <c r="D76" s="1097"/>
      <c r="E76" s="319" t="s">
        <v>15</v>
      </c>
      <c r="F76" s="485" t="s">
        <v>12</v>
      </c>
      <c r="G76" s="485">
        <f>'اسعار الخامات'!E12</f>
        <v>13</v>
      </c>
      <c r="H76" s="485">
        <f>1.75/40</f>
        <v>4.3749999999999997E-2</v>
      </c>
      <c r="I76" s="490">
        <v>0.1</v>
      </c>
      <c r="J76" s="263">
        <f>H76*G76+(I76*H76*G76)</f>
        <v>0.62562499999999999</v>
      </c>
    </row>
    <row r="77" spans="1:11" s="268" customFormat="1" ht="33.75" x14ac:dyDescent="0.25">
      <c r="B77" s="484"/>
      <c r="C77" s="1072"/>
      <c r="D77" s="319" t="s">
        <v>11</v>
      </c>
      <c r="E77" s="319" t="s">
        <v>60</v>
      </c>
      <c r="F77" s="485" t="s">
        <v>45</v>
      </c>
      <c r="G77" s="485">
        <f>'اسعار المصنعيات'!D32</f>
        <v>8</v>
      </c>
      <c r="H77" s="485">
        <v>1</v>
      </c>
      <c r="I77" s="485">
        <v>0</v>
      </c>
      <c r="J77" s="263">
        <f>H77*G77</f>
        <v>8</v>
      </c>
    </row>
    <row r="78" spans="1:11" s="483" customFormat="1" ht="33.75" x14ac:dyDescent="0.25">
      <c r="B78" s="484"/>
      <c r="C78" s="1072"/>
      <c r="D78" s="319" t="s">
        <v>16</v>
      </c>
      <c r="E78" s="319" t="s">
        <v>300</v>
      </c>
      <c r="F78" s="485" t="s">
        <v>45</v>
      </c>
      <c r="G78" s="485">
        <v>0.5</v>
      </c>
      <c r="H78" s="485">
        <v>1</v>
      </c>
      <c r="I78" s="485">
        <v>0</v>
      </c>
      <c r="J78" s="263">
        <f>H78*G78+(I78*H78*G78)</f>
        <v>0.5</v>
      </c>
    </row>
    <row r="79" spans="1:11" s="469" customFormat="1" ht="47.25" customHeight="1" x14ac:dyDescent="0.25">
      <c r="B79" s="466"/>
      <c r="C79" s="1036" t="s">
        <v>13</v>
      </c>
      <c r="D79" s="1036"/>
      <c r="E79" s="1036"/>
      <c r="F79" s="1036"/>
      <c r="G79" s="1036"/>
      <c r="H79" s="1036"/>
      <c r="I79" s="1036"/>
      <c r="J79" s="468">
        <f>SUM(J73:J78)</f>
        <v>34.114999999999995</v>
      </c>
      <c r="K79" s="468">
        <f>J79*1.25</f>
        <v>42.643749999999997</v>
      </c>
    </row>
    <row r="80" spans="1:11" s="471" customFormat="1" ht="24.75" customHeight="1" x14ac:dyDescent="0.25">
      <c r="A80" s="268"/>
      <c r="B80" s="268"/>
      <c r="C80" s="268"/>
      <c r="D80" s="268"/>
      <c r="E80" s="268"/>
      <c r="F80" s="268"/>
      <c r="G80" s="268"/>
      <c r="H80" s="268"/>
      <c r="I80" s="268"/>
      <c r="J80" s="268"/>
      <c r="K80" s="268"/>
    </row>
    <row r="81" spans="1:11" s="471" customFormat="1" ht="69.75" customHeight="1" x14ac:dyDescent="0.25">
      <c r="B81" s="472" t="s">
        <v>0</v>
      </c>
      <c r="C81" s="473" t="s">
        <v>1</v>
      </c>
      <c r="D81" s="1086" t="s">
        <v>2</v>
      </c>
      <c r="E81" s="1086"/>
      <c r="F81" s="473" t="s">
        <v>3</v>
      </c>
      <c r="G81" s="473" t="s">
        <v>4</v>
      </c>
      <c r="H81" s="473" t="s">
        <v>5</v>
      </c>
      <c r="I81" s="473" t="s">
        <v>6</v>
      </c>
      <c r="J81" s="225" t="s">
        <v>7</v>
      </c>
      <c r="K81" s="268"/>
    </row>
    <row r="82" spans="1:11" s="268" customFormat="1" ht="33.75" x14ac:dyDescent="0.25">
      <c r="B82" s="491">
        <v>9</v>
      </c>
      <c r="C82" s="1105" t="s">
        <v>262</v>
      </c>
      <c r="D82" s="1097" t="s">
        <v>14</v>
      </c>
      <c r="E82" s="319" t="s">
        <v>62</v>
      </c>
      <c r="F82" s="485" t="s">
        <v>45</v>
      </c>
      <c r="G82" s="485">
        <f>'اسعار الخامات'!E32</f>
        <v>12</v>
      </c>
      <c r="H82" s="485">
        <f>1/5</f>
        <v>0.2</v>
      </c>
      <c r="I82" s="490">
        <v>7.0000000000000007E-2</v>
      </c>
      <c r="J82" s="492">
        <f>H82*G82+(I82*H82*G82)</f>
        <v>2.5680000000000005</v>
      </c>
    </row>
    <row r="83" spans="1:11" s="268" customFormat="1" ht="33.75" x14ac:dyDescent="0.25">
      <c r="B83" s="491"/>
      <c r="C83" s="1105"/>
      <c r="D83" s="1097"/>
      <c r="E83" s="319" t="s">
        <v>18</v>
      </c>
      <c r="F83" s="485" t="s">
        <v>19</v>
      </c>
      <c r="G83" s="487">
        <f>'اسعار الخامات'!E7</f>
        <v>650</v>
      </c>
      <c r="H83" s="488">
        <f>0.35/40/5</f>
        <v>1.7499999999999998E-3</v>
      </c>
      <c r="I83" s="490">
        <v>0.05</v>
      </c>
      <c r="J83" s="492">
        <f>H83*G83+(I83*H83*G83)</f>
        <v>1.194375</v>
      </c>
    </row>
    <row r="84" spans="1:11" s="268" customFormat="1" ht="33.75" x14ac:dyDescent="0.25">
      <c r="B84" s="491"/>
      <c r="C84" s="1105"/>
      <c r="D84" s="1097"/>
      <c r="E84" s="319" t="s">
        <v>21</v>
      </c>
      <c r="F84" s="485" t="s">
        <v>12</v>
      </c>
      <c r="G84" s="485">
        <f>'اسعار الخامات'!E9</f>
        <v>35</v>
      </c>
      <c r="H84" s="489">
        <f>1/40+(1/10)/5</f>
        <v>4.4999999999999998E-2</v>
      </c>
      <c r="I84" s="490">
        <v>0.1</v>
      </c>
      <c r="J84" s="492">
        <f>H84*G84+(I84*H84*G84)</f>
        <v>1.7324999999999999</v>
      </c>
    </row>
    <row r="85" spans="1:11" s="268" customFormat="1" ht="33.75" x14ac:dyDescent="0.25">
      <c r="B85" s="491"/>
      <c r="C85" s="1105"/>
      <c r="D85" s="1097"/>
      <c r="E85" s="319" t="s">
        <v>15</v>
      </c>
      <c r="F85" s="485" t="s">
        <v>12</v>
      </c>
      <c r="G85" s="485">
        <f>'اسعار الخامات'!E12</f>
        <v>13</v>
      </c>
      <c r="H85" s="485">
        <f>1.75/40/5</f>
        <v>8.7499999999999991E-3</v>
      </c>
      <c r="I85" s="490">
        <v>0.1</v>
      </c>
      <c r="J85" s="492">
        <f>H85*G85+(I85*H85*G85)</f>
        <v>0.12512499999999999</v>
      </c>
    </row>
    <row r="86" spans="1:11" s="268" customFormat="1" ht="33.75" x14ac:dyDescent="0.25">
      <c r="B86" s="491"/>
      <c r="C86" s="1105"/>
      <c r="D86" s="1097" t="s">
        <v>11</v>
      </c>
      <c r="E86" s="319" t="s">
        <v>60</v>
      </c>
      <c r="F86" s="1098" t="s">
        <v>45</v>
      </c>
      <c r="G86" s="1098">
        <f>'اسعار المصنعيات'!D29</f>
        <v>20</v>
      </c>
      <c r="H86" s="1098">
        <v>1</v>
      </c>
      <c r="I86" s="1098">
        <v>0</v>
      </c>
      <c r="J86" s="1104">
        <f>H86*G86+(I86*H86*G86)</f>
        <v>20</v>
      </c>
    </row>
    <row r="87" spans="1:11" s="268" customFormat="1" ht="33.75" x14ac:dyDescent="0.25">
      <c r="B87" s="491"/>
      <c r="C87" s="1105"/>
      <c r="D87" s="1097"/>
      <c r="E87" s="319" t="s">
        <v>50</v>
      </c>
      <c r="F87" s="1098"/>
      <c r="G87" s="1098"/>
      <c r="H87" s="1098"/>
      <c r="I87" s="1098"/>
      <c r="J87" s="1104"/>
    </row>
    <row r="88" spans="1:11" s="268" customFormat="1" ht="33.75" x14ac:dyDescent="0.25">
      <c r="B88" s="491"/>
      <c r="C88" s="1105"/>
      <c r="D88" s="319"/>
      <c r="E88" s="319" t="s">
        <v>55</v>
      </c>
      <c r="F88" s="1098"/>
      <c r="G88" s="1098"/>
      <c r="H88" s="1098"/>
      <c r="I88" s="1098"/>
      <c r="J88" s="1104"/>
    </row>
    <row r="89" spans="1:11" s="483" customFormat="1" ht="33.75" x14ac:dyDescent="0.25">
      <c r="B89" s="491"/>
      <c r="C89" s="1105"/>
      <c r="D89" s="319" t="s">
        <v>16</v>
      </c>
      <c r="E89" s="319" t="s">
        <v>300</v>
      </c>
      <c r="F89" s="485" t="s">
        <v>45</v>
      </c>
      <c r="G89" s="485">
        <v>0.5</v>
      </c>
      <c r="H89" s="485">
        <v>1</v>
      </c>
      <c r="I89" s="485">
        <v>0</v>
      </c>
      <c r="J89" s="492">
        <f>H89*G89+(I89*H89*G89)</f>
        <v>0.5</v>
      </c>
    </row>
    <row r="90" spans="1:11" s="469" customFormat="1" ht="47.25" customHeight="1" x14ac:dyDescent="0.25">
      <c r="B90" s="466"/>
      <c r="C90" s="1036" t="s">
        <v>13</v>
      </c>
      <c r="D90" s="1036"/>
      <c r="E90" s="1036"/>
      <c r="F90" s="1036"/>
      <c r="G90" s="1036"/>
      <c r="H90" s="1036"/>
      <c r="I90" s="1036"/>
      <c r="J90" s="468">
        <f>SUM(J82:J89)</f>
        <v>26.12</v>
      </c>
      <c r="K90" s="468">
        <f>J90*1.25</f>
        <v>32.65</v>
      </c>
    </row>
    <row r="91" spans="1:11" s="471" customFormat="1" ht="24.75" customHeight="1" x14ac:dyDescent="0.25">
      <c r="A91" s="268"/>
      <c r="B91" s="268"/>
      <c r="C91" s="268"/>
      <c r="D91" s="268"/>
      <c r="E91" s="268"/>
      <c r="F91" s="268"/>
      <c r="G91" s="268"/>
      <c r="H91" s="268"/>
      <c r="I91" s="268"/>
      <c r="J91" s="268"/>
      <c r="K91" s="268"/>
    </row>
    <row r="92" spans="1:11" s="471" customFormat="1" ht="69.75" customHeight="1" x14ac:dyDescent="0.25">
      <c r="B92" s="472" t="s">
        <v>0</v>
      </c>
      <c r="C92" s="473" t="s">
        <v>1</v>
      </c>
      <c r="D92" s="1086" t="s">
        <v>2</v>
      </c>
      <c r="E92" s="1086"/>
      <c r="F92" s="473" t="s">
        <v>3</v>
      </c>
      <c r="G92" s="473" t="s">
        <v>4</v>
      </c>
      <c r="H92" s="473" t="s">
        <v>5</v>
      </c>
      <c r="I92" s="473" t="s">
        <v>6</v>
      </c>
      <c r="J92" s="225" t="s">
        <v>7</v>
      </c>
      <c r="K92" s="268"/>
    </row>
    <row r="93" spans="1:11" s="268" customFormat="1" ht="42.75" customHeight="1" x14ac:dyDescent="0.25">
      <c r="B93" s="484"/>
      <c r="C93" s="1105" t="s">
        <v>303</v>
      </c>
      <c r="D93" s="1097" t="s">
        <v>14</v>
      </c>
      <c r="E93" s="319" t="s">
        <v>305</v>
      </c>
      <c r="F93" s="485" t="s">
        <v>45</v>
      </c>
      <c r="G93" s="485">
        <f>'اسعار الخامات'!E33</f>
        <v>50</v>
      </c>
      <c r="H93" s="485">
        <v>1</v>
      </c>
      <c r="I93" s="490">
        <v>7.0000000000000007E-2</v>
      </c>
      <c r="J93" s="492">
        <f>H93*G93+(I93*H93*G93)</f>
        <v>53.5</v>
      </c>
    </row>
    <row r="94" spans="1:11" s="268" customFormat="1" ht="33.75" x14ac:dyDescent="0.25">
      <c r="B94" s="484"/>
      <c r="C94" s="1105"/>
      <c r="D94" s="1097"/>
      <c r="E94" s="319" t="s">
        <v>18</v>
      </c>
      <c r="F94" s="485" t="s">
        <v>19</v>
      </c>
      <c r="G94" s="487">
        <f>'اسعار الخامات'!E7</f>
        <v>650</v>
      </c>
      <c r="H94" s="488">
        <f>0.35/40</f>
        <v>8.7499999999999991E-3</v>
      </c>
      <c r="I94" s="490">
        <v>0.05</v>
      </c>
      <c r="J94" s="492">
        <f>H94*G94+(I94*H94*G94)</f>
        <v>5.9718749999999989</v>
      </c>
    </row>
    <row r="95" spans="1:11" s="268" customFormat="1" ht="33.75" x14ac:dyDescent="0.25">
      <c r="B95" s="484"/>
      <c r="C95" s="1105"/>
      <c r="D95" s="1097"/>
      <c r="E95" s="319" t="s">
        <v>21</v>
      </c>
      <c r="F95" s="485" t="s">
        <v>12</v>
      </c>
      <c r="G95" s="485">
        <f>'اسعار الخامات'!E9</f>
        <v>35</v>
      </c>
      <c r="H95" s="489">
        <f>1/40+(1/10)</f>
        <v>0.125</v>
      </c>
      <c r="I95" s="490">
        <v>0.1</v>
      </c>
      <c r="J95" s="492">
        <f>H95*G95+(I95*H95*G95)</f>
        <v>4.8125</v>
      </c>
    </row>
    <row r="96" spans="1:11" s="268" customFormat="1" ht="33.75" x14ac:dyDescent="0.25">
      <c r="B96" s="484"/>
      <c r="C96" s="1105"/>
      <c r="D96" s="1097"/>
      <c r="E96" s="319" t="s">
        <v>15</v>
      </c>
      <c r="F96" s="485" t="s">
        <v>12</v>
      </c>
      <c r="G96" s="485">
        <f>'اسعار الخامات'!E12</f>
        <v>13</v>
      </c>
      <c r="H96" s="485">
        <f>1.75/40</f>
        <v>4.3749999999999997E-2</v>
      </c>
      <c r="I96" s="490">
        <v>0.1</v>
      </c>
      <c r="J96" s="492">
        <f>H96*G96+(I96*H96*G96)</f>
        <v>0.62562499999999999</v>
      </c>
    </row>
    <row r="97" spans="2:11" s="268" customFormat="1" ht="33.75" x14ac:dyDescent="0.25">
      <c r="B97" s="484"/>
      <c r="C97" s="1105"/>
      <c r="D97" s="319"/>
      <c r="E97" s="319" t="s">
        <v>307</v>
      </c>
      <c r="F97" s="485" t="s">
        <v>45</v>
      </c>
      <c r="G97" s="485">
        <v>3</v>
      </c>
      <c r="H97" s="485">
        <v>1</v>
      </c>
      <c r="I97" s="490">
        <v>0</v>
      </c>
      <c r="J97" s="492">
        <f>H97*G97+(I97*H97*G97)</f>
        <v>3</v>
      </c>
    </row>
    <row r="98" spans="2:11" s="268" customFormat="1" ht="33.75" x14ac:dyDescent="0.25">
      <c r="B98" s="484"/>
      <c r="C98" s="1105"/>
      <c r="D98" s="319" t="s">
        <v>11</v>
      </c>
      <c r="E98" s="319" t="s">
        <v>60</v>
      </c>
      <c r="F98" s="485" t="s">
        <v>45</v>
      </c>
      <c r="G98" s="485">
        <f>'اسعار المصنعيات'!D34</f>
        <v>15</v>
      </c>
      <c r="H98" s="485">
        <v>1</v>
      </c>
      <c r="I98" s="485">
        <v>0</v>
      </c>
      <c r="J98" s="492">
        <f>H98*G98</f>
        <v>15</v>
      </c>
    </row>
    <row r="99" spans="2:11" s="483" customFormat="1" ht="33.75" x14ac:dyDescent="0.25">
      <c r="B99" s="484"/>
      <c r="C99" s="1105"/>
      <c r="D99" s="319" t="s">
        <v>16</v>
      </c>
      <c r="E99" s="319" t="s">
        <v>300</v>
      </c>
      <c r="F99" s="485" t="s">
        <v>45</v>
      </c>
      <c r="G99" s="485">
        <v>0.5</v>
      </c>
      <c r="H99" s="485">
        <v>1</v>
      </c>
      <c r="I99" s="485">
        <v>0</v>
      </c>
      <c r="J99" s="492">
        <f>H99*G99+(I99*H99*G99)</f>
        <v>0.5</v>
      </c>
    </row>
    <row r="100" spans="2:11" s="469" customFormat="1" ht="47.25" customHeight="1" x14ac:dyDescent="0.25">
      <c r="B100" s="466"/>
      <c r="C100" s="1036" t="s">
        <v>13</v>
      </c>
      <c r="D100" s="1036"/>
      <c r="E100" s="1036"/>
      <c r="F100" s="1036"/>
      <c r="G100" s="1036"/>
      <c r="H100" s="1036"/>
      <c r="I100" s="1036"/>
      <c r="J100" s="468">
        <f>SUM(J93:J99)</f>
        <v>83.41</v>
      </c>
      <c r="K100" s="468">
        <f>J100*1.25</f>
        <v>104.26249999999999</v>
      </c>
    </row>
    <row r="101" spans="2:11" s="268" customFormat="1" ht="35.1" customHeight="1" x14ac:dyDescent="0.25"/>
    <row r="102" spans="2:11" s="268" customFormat="1" ht="35.1" customHeight="1" x14ac:dyDescent="0.25"/>
    <row r="103" spans="2:11" s="268" customFormat="1" ht="35.1" customHeight="1" x14ac:dyDescent="0.25"/>
    <row r="104" spans="2:11" s="268" customFormat="1" ht="35.1" customHeight="1" x14ac:dyDescent="0.25"/>
    <row r="105" spans="2:11" s="268" customFormat="1" ht="35.1" customHeight="1" x14ac:dyDescent="0.25"/>
    <row r="106" spans="2:11" s="268" customFormat="1" ht="35.1" customHeight="1" x14ac:dyDescent="0.25"/>
    <row r="107" spans="2:11" s="268" customFormat="1" ht="35.1" customHeight="1" x14ac:dyDescent="0.25"/>
    <row r="108" spans="2:11" s="268" customFormat="1" ht="35.1" customHeight="1" x14ac:dyDescent="0.25"/>
    <row r="109" spans="2:11" s="268" customFormat="1" ht="35.1" customHeight="1" x14ac:dyDescent="0.25"/>
    <row r="110" spans="2:11" s="268" customFormat="1" ht="35.1" customHeight="1" x14ac:dyDescent="0.25"/>
    <row r="111" spans="2:11" s="268" customFormat="1" ht="35.1" customHeight="1" x14ac:dyDescent="0.25"/>
    <row r="112" spans="2:11" s="268" customFormat="1" ht="35.1" customHeight="1" x14ac:dyDescent="0.25"/>
    <row r="113" s="268" customFormat="1" ht="35.1" customHeight="1" x14ac:dyDescent="0.25"/>
    <row r="114" s="268" customFormat="1" ht="35.1" customHeight="1" x14ac:dyDescent="0.25"/>
    <row r="115" s="185" customFormat="1" ht="35.1" customHeight="1" x14ac:dyDescent="0.25"/>
    <row r="116" s="185" customFormat="1" ht="35.1" customHeight="1" x14ac:dyDescent="0.25"/>
    <row r="117" s="185" customFormat="1" ht="35.1" customHeight="1" x14ac:dyDescent="0.25"/>
    <row r="118" s="185" customFormat="1" ht="35.1" customHeight="1" x14ac:dyDescent="0.25"/>
    <row r="119" s="185" customFormat="1" ht="35.1" customHeight="1" x14ac:dyDescent="0.25"/>
    <row r="120" s="185" customFormat="1" ht="35.1" customHeight="1" x14ac:dyDescent="0.25"/>
    <row r="121" s="185" customFormat="1" ht="35.1" customHeight="1" x14ac:dyDescent="0.25"/>
    <row r="122" s="185" customFormat="1" ht="35.1" customHeight="1" x14ac:dyDescent="0.25"/>
    <row r="123" s="185" customFormat="1" ht="35.1" customHeight="1" x14ac:dyDescent="0.25"/>
    <row r="124" s="185" customFormat="1" ht="35.1" customHeight="1" x14ac:dyDescent="0.25"/>
    <row r="125" s="185" customFormat="1" ht="35.1" customHeight="1" x14ac:dyDescent="0.25"/>
    <row r="126" s="185" customFormat="1" ht="35.1" customHeight="1" x14ac:dyDescent="0.25"/>
  </sheetData>
  <mergeCells count="77">
    <mergeCell ref="D81:E81"/>
    <mergeCell ref="D92:E92"/>
    <mergeCell ref="C100:I100"/>
    <mergeCell ref="H86:H88"/>
    <mergeCell ref="I86:I88"/>
    <mergeCell ref="J86:J88"/>
    <mergeCell ref="C90:I90"/>
    <mergeCell ref="D93:D96"/>
    <mergeCell ref="C93:C99"/>
    <mergeCell ref="D82:D85"/>
    <mergeCell ref="D86:D87"/>
    <mergeCell ref="F86:F88"/>
    <mergeCell ref="G86:G88"/>
    <mergeCell ref="C82:C89"/>
    <mergeCell ref="J65:J67"/>
    <mergeCell ref="C69:I69"/>
    <mergeCell ref="D73:D76"/>
    <mergeCell ref="C79:I79"/>
    <mergeCell ref="C60:C68"/>
    <mergeCell ref="C73:C78"/>
    <mergeCell ref="D71:E71"/>
    <mergeCell ref="C57:I57"/>
    <mergeCell ref="D60:D64"/>
    <mergeCell ref="D65:D66"/>
    <mergeCell ref="F65:F67"/>
    <mergeCell ref="G65:G67"/>
    <mergeCell ref="H65:H67"/>
    <mergeCell ref="I65:I67"/>
    <mergeCell ref="D59:E59"/>
    <mergeCell ref="J41:J43"/>
    <mergeCell ref="C45:I45"/>
    <mergeCell ref="D48:D52"/>
    <mergeCell ref="D53:D54"/>
    <mergeCell ref="F53:F55"/>
    <mergeCell ref="G53:G55"/>
    <mergeCell ref="H53:H55"/>
    <mergeCell ref="I53:I55"/>
    <mergeCell ref="J53:J55"/>
    <mergeCell ref="C48:C56"/>
    <mergeCell ref="D47:E47"/>
    <mergeCell ref="C35:I35"/>
    <mergeCell ref="C36:C43"/>
    <mergeCell ref="D36:D40"/>
    <mergeCell ref="D41:D42"/>
    <mergeCell ref="F41:F43"/>
    <mergeCell ref="G41:G43"/>
    <mergeCell ref="H41:H43"/>
    <mergeCell ref="I41:I43"/>
    <mergeCell ref="J19:J21"/>
    <mergeCell ref="C24:I24"/>
    <mergeCell ref="C25:C32"/>
    <mergeCell ref="D25:D29"/>
    <mergeCell ref="D30:D31"/>
    <mergeCell ref="F30:F32"/>
    <mergeCell ref="G30:G32"/>
    <mergeCell ref="H30:H32"/>
    <mergeCell ref="I30:I32"/>
    <mergeCell ref="J30:J32"/>
    <mergeCell ref="C13:I13"/>
    <mergeCell ref="C14:C21"/>
    <mergeCell ref="D14:D18"/>
    <mergeCell ref="D19:D20"/>
    <mergeCell ref="F19:F21"/>
    <mergeCell ref="G19:G21"/>
    <mergeCell ref="H19:H21"/>
    <mergeCell ref="I19:I21"/>
    <mergeCell ref="B1:J1"/>
    <mergeCell ref="D5:E5"/>
    <mergeCell ref="C6:C12"/>
    <mergeCell ref="D6:D8"/>
    <mergeCell ref="D9:D11"/>
    <mergeCell ref="F9:F11"/>
    <mergeCell ref="G9:G11"/>
    <mergeCell ref="H9:H11"/>
    <mergeCell ref="I9:I11"/>
    <mergeCell ref="J9:J11"/>
    <mergeCell ref="D3:G3"/>
  </mergeCells>
  <hyperlinks>
    <hyperlink ref="J3" location="cover!A1" display="cover!A1" xr:uid="{00000000-0004-0000-0800-000000000000}"/>
  </hyperlinks>
  <printOptions horizontalCentered="1" verticalCentered="1"/>
  <pageMargins left="0" right="0.23622047244094491" top="0" bottom="0" header="0.31496062992125984" footer="0.31496062992125984"/>
  <pageSetup paperSize="9" scale="70" orientation="landscape" r:id="rId1"/>
  <headerFooter>
    <oddFooter>&amp;L&amp;P&amp;Cتحليل اسعار بنود الاعمال مشروع امواج &amp;R&amp;D</oddFooter>
  </headerFooter>
  <rowBreaks count="1" manualBreakCount="1">
    <brk id="59" min="1" max="9" man="1"/>
  </rowBreaks>
  <colBreaks count="1" manualBreakCount="1">
    <brk id="1" max="240" man="1"/>
  </colBreaks>
  <ignoredErrors>
    <ignoredError sqref="J13 J77 J90 J98"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أوراق العمل</vt:lpstr>
      </vt:variant>
      <vt:variant>
        <vt:i4>27</vt:i4>
      </vt:variant>
      <vt:variant>
        <vt:lpstr>النطاقات المسماة</vt:lpstr>
      </vt:variant>
      <vt:variant>
        <vt:i4>30</vt:i4>
      </vt:variant>
    </vt:vector>
  </HeadingPairs>
  <TitlesOfParts>
    <vt:vector size="57" baseType="lpstr">
      <vt:lpstr>cover</vt:lpstr>
      <vt:lpstr>حفر و احلال</vt:lpstr>
      <vt:lpstr>خرسانة عادية</vt:lpstr>
      <vt:lpstr>خرسانة مسلحة</vt:lpstr>
      <vt:lpstr>البياض</vt:lpstr>
      <vt:lpstr>المبانى</vt:lpstr>
      <vt:lpstr>عزل</vt:lpstr>
      <vt:lpstr>الدهانات</vt:lpstr>
      <vt:lpstr>السيراميك</vt:lpstr>
      <vt:lpstr>الرخام</vt:lpstr>
      <vt:lpstr>القرميد</vt:lpstr>
      <vt:lpstr>النجارة </vt:lpstr>
      <vt:lpstr>الكهرباء</vt:lpstr>
      <vt:lpstr>الصحى</vt:lpstr>
      <vt:lpstr>اسعار الخامات</vt:lpstr>
      <vt:lpstr>اسعار المصنعيات</vt:lpstr>
      <vt:lpstr>التشطيبات</vt:lpstr>
      <vt:lpstr>المطبق</vt:lpstr>
      <vt:lpstr>Sheet3</vt:lpstr>
      <vt:lpstr>اليوميات</vt:lpstr>
      <vt:lpstr>التكلفة</vt:lpstr>
      <vt:lpstr>اسعار الخرسانات</vt:lpstr>
      <vt:lpstr>شرح تكلفة الخرسانة </vt:lpstr>
      <vt:lpstr>شرح العزل</vt:lpstr>
      <vt:lpstr>cost estiment</vt:lpstr>
      <vt:lpstr>معدلات الاداء القياسية</vt:lpstr>
      <vt:lpstr>Sheet1</vt:lpstr>
      <vt:lpstr>'اسعار الخامات'!Print_Area</vt:lpstr>
      <vt:lpstr>البياض!Print_Area</vt:lpstr>
      <vt:lpstr>التشطيبات!Print_Area</vt:lpstr>
      <vt:lpstr>الدهانات!Print_Area</vt:lpstr>
      <vt:lpstr>الرخام!Print_Area</vt:lpstr>
      <vt:lpstr>السيراميك!Print_Area</vt:lpstr>
      <vt:lpstr>الصحى!Print_Area</vt:lpstr>
      <vt:lpstr>القرميد!Print_Area</vt:lpstr>
      <vt:lpstr>الكهرباء!Print_Area</vt:lpstr>
      <vt:lpstr>المبانى!Print_Area</vt:lpstr>
      <vt:lpstr>'النجارة '!Print_Area</vt:lpstr>
      <vt:lpstr>'حفر و احلال'!Print_Area</vt:lpstr>
      <vt:lpstr>'خرسانة عادية'!Print_Area</vt:lpstr>
      <vt:lpstr>'خرسانة مسلحة'!Print_Area</vt:lpstr>
      <vt:lpstr>عزل!Print_Area</vt:lpstr>
      <vt:lpstr>'اسعار المصنعيات'!Print_Titles</vt:lpstr>
      <vt:lpstr>البياض!Print_Titles</vt:lpstr>
      <vt:lpstr>التشطيبات!Print_Titles</vt:lpstr>
      <vt:lpstr>الدهانات!Print_Titles</vt:lpstr>
      <vt:lpstr>الرخام!Print_Titles</vt:lpstr>
      <vt:lpstr>السيراميك!Print_Titles</vt:lpstr>
      <vt:lpstr>الصحى!Print_Titles</vt:lpstr>
      <vt:lpstr>القرميد!Print_Titles</vt:lpstr>
      <vt:lpstr>الكهرباء!Print_Titles</vt:lpstr>
      <vt:lpstr>المبانى!Print_Titles</vt:lpstr>
      <vt:lpstr>'النجارة '!Print_Titles</vt:lpstr>
      <vt:lpstr>'حفر و احلال'!Print_Titles</vt:lpstr>
      <vt:lpstr>'خرسانة عادية'!Print_Titles</vt:lpstr>
      <vt:lpstr>'خرسانة مسلحة'!Print_Titles</vt:lpstr>
      <vt:lpstr>عزل!Print_Titles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2022-05-20T16:30:57Z</dcterms:modified>
</cp:coreProperties>
</file>